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cenik\Desktop\"/>
    </mc:Choice>
  </mc:AlternateContent>
  <xr:revisionPtr revIDLastSave="0" documentId="8_{E89FA5F7-8B78-453A-B02D-5E3FC3D83B85}" xr6:coauthVersionLast="47" xr6:coauthVersionMax="47" xr10:uidLastSave="{00000000-0000-0000-0000-000000000000}"/>
  <bookViews>
    <workbookView xWindow="-108" yWindow="-108" windowWidth="23256" windowHeight="13896" tabRatio="604" xr2:uid="{00000000-000D-0000-FFFF-FFFF00000000}"/>
  </bookViews>
  <sheets>
    <sheet name="SAŽETAK" sheetId="23" r:id="rId1"/>
    <sheet name="RAČUN PRIHODA I RASHODA" sheetId="19" r:id="rId2"/>
    <sheet name="Rashodi i prihodi prema izvoru" sheetId="20" r:id="rId3"/>
    <sheet name="Rashodi prema funkcijskoj klas" sheetId="21" r:id="rId4"/>
    <sheet name="Račun financiranja" sheetId="24" r:id="rId5"/>
    <sheet name="Račun fin prema izvorima f" sheetId="25" r:id="rId6"/>
    <sheet name="Rashodi prema programskoj klas" sheetId="22" r:id="rId7"/>
  </sheets>
  <definedNames>
    <definedName name="_xlnm.Print_Area" localSheetId="1">'RAČUN PRIHODA I RASHODA'!$B$1:$M$98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9" l="1"/>
  <c r="J96" i="19" l="1"/>
  <c r="K96" i="19"/>
  <c r="G81" i="22"/>
  <c r="G63" i="22"/>
  <c r="F55" i="22"/>
  <c r="G26" i="22"/>
  <c r="G47" i="22"/>
  <c r="F47" i="22"/>
  <c r="G51" i="22"/>
  <c r="G50" i="22"/>
  <c r="D8" i="20"/>
  <c r="H10" i="23"/>
  <c r="H9" i="23" s="1"/>
  <c r="H13" i="23"/>
  <c r="H74" i="19"/>
  <c r="H73" i="19" s="1"/>
  <c r="D23" i="20"/>
  <c r="F50" i="22"/>
  <c r="G20" i="22"/>
  <c r="H58" i="22"/>
  <c r="H59" i="22"/>
  <c r="G40" i="22"/>
  <c r="G38" i="22"/>
  <c r="G29" i="22"/>
  <c r="G32" i="22"/>
  <c r="G27" i="22"/>
  <c r="G25" i="22"/>
  <c r="G24" i="22"/>
  <c r="G23" i="22"/>
  <c r="G22" i="22"/>
  <c r="G21" i="22"/>
  <c r="F26" i="22"/>
  <c r="G14" i="22"/>
  <c r="G13" i="22"/>
  <c r="G12" i="22"/>
  <c r="H12" i="22" s="1"/>
  <c r="G11" i="22"/>
  <c r="G10" i="22"/>
  <c r="G9" i="22"/>
  <c r="F14" i="22"/>
  <c r="F13" i="22"/>
  <c r="F9" i="22"/>
  <c r="F12" i="22"/>
  <c r="F11" i="22"/>
  <c r="F10" i="22"/>
  <c r="H11" i="22" l="1"/>
  <c r="H9" i="22"/>
  <c r="H14" i="22"/>
  <c r="H26" i="22"/>
  <c r="H10" i="22"/>
  <c r="H13" i="22"/>
  <c r="H47" i="22"/>
  <c r="H50" i="22"/>
  <c r="G19" i="22"/>
  <c r="F12" i="20"/>
  <c r="F14" i="20"/>
  <c r="G93" i="19"/>
  <c r="G95" i="19"/>
  <c r="I95" i="19"/>
  <c r="H94" i="19"/>
  <c r="H93" i="19" s="1"/>
  <c r="I94" i="19" l="1"/>
  <c r="J95" i="19"/>
  <c r="K95" i="19"/>
  <c r="K22" i="23"/>
  <c r="J22" i="23"/>
  <c r="H23" i="23"/>
  <c r="I21" i="23"/>
  <c r="H21" i="23"/>
  <c r="G21" i="23"/>
  <c r="G9" i="21"/>
  <c r="F10" i="21"/>
  <c r="F9" i="21"/>
  <c r="F8" i="21"/>
  <c r="F7" i="21"/>
  <c r="G8" i="21"/>
  <c r="D8" i="21"/>
  <c r="D7" i="21" s="1"/>
  <c r="D6" i="21" s="1"/>
  <c r="C8" i="21"/>
  <c r="C6" i="21"/>
  <c r="C7" i="21"/>
  <c r="D33" i="20"/>
  <c r="D31" i="20" s="1"/>
  <c r="D30" i="20"/>
  <c r="D26" i="20"/>
  <c r="D22" i="20"/>
  <c r="D11" i="20"/>
  <c r="C32" i="20"/>
  <c r="F32" i="20" s="1"/>
  <c r="C31" i="20"/>
  <c r="C33" i="20"/>
  <c r="C15" i="20"/>
  <c r="C13" i="20" s="1"/>
  <c r="C19" i="20"/>
  <c r="F19" i="20" s="1"/>
  <c r="C18" i="20"/>
  <c r="C17" i="20"/>
  <c r="C30" i="20"/>
  <c r="F30" i="20" s="1"/>
  <c r="C35" i="20"/>
  <c r="F35" i="20" s="1"/>
  <c r="C34" i="20"/>
  <c r="C29" i="20"/>
  <c r="F29" i="20" s="1"/>
  <c r="C27" i="20"/>
  <c r="C26" i="20"/>
  <c r="C23" i="20"/>
  <c r="C22" i="20" s="1"/>
  <c r="C24" i="20"/>
  <c r="C16" i="20"/>
  <c r="C11" i="20"/>
  <c r="F11" i="20" s="1"/>
  <c r="C9" i="20"/>
  <c r="C7" i="20"/>
  <c r="G8" i="20"/>
  <c r="G19" i="20"/>
  <c r="G14" i="20"/>
  <c r="G29" i="20"/>
  <c r="G30" i="20"/>
  <c r="G33" i="20"/>
  <c r="G34" i="20"/>
  <c r="K77" i="19"/>
  <c r="J39" i="19"/>
  <c r="J38" i="19"/>
  <c r="J40" i="19"/>
  <c r="J44" i="19"/>
  <c r="J48" i="19"/>
  <c r="J49" i="19"/>
  <c r="J59" i="19"/>
  <c r="J61" i="19"/>
  <c r="J62" i="19"/>
  <c r="J68" i="19"/>
  <c r="J72" i="19"/>
  <c r="J82" i="19"/>
  <c r="H37" i="19"/>
  <c r="I75" i="19"/>
  <c r="I74" i="19" s="1"/>
  <c r="H66" i="19"/>
  <c r="H56" i="19"/>
  <c r="H50" i="19"/>
  <c r="H46" i="19"/>
  <c r="H45" i="19" s="1"/>
  <c r="H41" i="19"/>
  <c r="J18" i="19"/>
  <c r="J21" i="19"/>
  <c r="J24" i="19"/>
  <c r="G81" i="19"/>
  <c r="G83" i="19"/>
  <c r="G86" i="19"/>
  <c r="G85" i="19" s="1"/>
  <c r="I87" i="19"/>
  <c r="J87" i="19" s="1"/>
  <c r="I76" i="19"/>
  <c r="K76" i="19" s="1"/>
  <c r="I71" i="19"/>
  <c r="G66" i="19"/>
  <c r="G46" i="19"/>
  <c r="G45" i="19" s="1"/>
  <c r="G50" i="19"/>
  <c r="G56" i="19"/>
  <c r="I37" i="19"/>
  <c r="G43" i="19"/>
  <c r="G41" i="19"/>
  <c r="G37" i="19"/>
  <c r="G26" i="19"/>
  <c r="G25" i="19" s="1"/>
  <c r="G13" i="19"/>
  <c r="G12" i="19" s="1"/>
  <c r="G9" i="23"/>
  <c r="G15" i="23" s="1"/>
  <c r="G23" i="23" s="1"/>
  <c r="G12" i="23"/>
  <c r="I20" i="19"/>
  <c r="I19" i="19" s="1"/>
  <c r="H19" i="19"/>
  <c r="H25" i="19"/>
  <c r="I23" i="19"/>
  <c r="I22" i="19" s="1"/>
  <c r="G17" i="19"/>
  <c r="J17" i="19" s="1"/>
  <c r="I15" i="19"/>
  <c r="J15" i="19" s="1"/>
  <c r="I14" i="19"/>
  <c r="J14" i="19" s="1"/>
  <c r="H12" i="19"/>
  <c r="I12" i="23"/>
  <c r="J13" i="23"/>
  <c r="J12" i="23" s="1"/>
  <c r="J14" i="23"/>
  <c r="H14" i="23"/>
  <c r="K14" i="23"/>
  <c r="H12" i="23"/>
  <c r="I10" i="23"/>
  <c r="J10" i="23" s="1"/>
  <c r="J9" i="23" s="1"/>
  <c r="G71" i="19"/>
  <c r="G70" i="19" s="1"/>
  <c r="G74" i="19"/>
  <c r="G73" i="19" s="1"/>
  <c r="G20" i="19"/>
  <c r="G19" i="19" s="1"/>
  <c r="G22" i="19"/>
  <c r="G71" i="22"/>
  <c r="G70" i="22" s="1"/>
  <c r="G80" i="22"/>
  <c r="H80" i="22" s="1"/>
  <c r="G77" i="22"/>
  <c r="F70" i="22"/>
  <c r="F67" i="22"/>
  <c r="G67" i="22"/>
  <c r="F61" i="22"/>
  <c r="G64" i="22"/>
  <c r="H64" i="22" s="1"/>
  <c r="G62" i="22"/>
  <c r="G55" i="22"/>
  <c r="H55" i="22" s="1"/>
  <c r="G53" i="22"/>
  <c r="G52" i="22"/>
  <c r="F54" i="22"/>
  <c r="H54" i="22" s="1"/>
  <c r="F53" i="22"/>
  <c r="F52" i="22"/>
  <c r="F51" i="22"/>
  <c r="G18" i="22"/>
  <c r="F45" i="22"/>
  <c r="H45" i="22" s="1"/>
  <c r="F43" i="22"/>
  <c r="H43" i="22" s="1"/>
  <c r="F20" i="22"/>
  <c r="H20" i="22" s="1"/>
  <c r="G46" i="22"/>
  <c r="F46" i="22"/>
  <c r="F19" i="22"/>
  <c r="H19" i="22" s="1"/>
  <c r="G17" i="22"/>
  <c r="G16" i="22"/>
  <c r="F18" i="22"/>
  <c r="F17" i="22"/>
  <c r="F16" i="22"/>
  <c r="E10" i="21"/>
  <c r="G10" i="21" s="1"/>
  <c r="E9" i="21"/>
  <c r="E8" i="21"/>
  <c r="E7" i="21"/>
  <c r="E6" i="21" s="1"/>
  <c r="E33" i="20"/>
  <c r="F33" i="20" s="1"/>
  <c r="E31" i="20"/>
  <c r="E28" i="20"/>
  <c r="E23" i="20"/>
  <c r="F23" i="20" s="1"/>
  <c r="E22" i="20"/>
  <c r="E27" i="20"/>
  <c r="E26" i="20"/>
  <c r="E34" i="20"/>
  <c r="F34" i="20" s="1"/>
  <c r="D35" i="20"/>
  <c r="G35" i="20" s="1"/>
  <c r="D34" i="20"/>
  <c r="D29" i="20"/>
  <c r="D28" i="20" s="1"/>
  <c r="E17" i="20"/>
  <c r="E16" i="20"/>
  <c r="E15" i="20"/>
  <c r="G15" i="20" s="1"/>
  <c r="E13" i="20"/>
  <c r="E18" i="20"/>
  <c r="F18" i="20" s="1"/>
  <c r="E8" i="20"/>
  <c r="E7" i="20"/>
  <c r="E6" i="20" s="1"/>
  <c r="D18" i="20"/>
  <c r="D17" i="20"/>
  <c r="G17" i="20" s="1"/>
  <c r="D16" i="20"/>
  <c r="G16" i="20" s="1"/>
  <c r="D15" i="20"/>
  <c r="D13" i="20" s="1"/>
  <c r="G13" i="20" s="1"/>
  <c r="D7" i="20"/>
  <c r="G7" i="20" s="1"/>
  <c r="H80" i="19"/>
  <c r="H85" i="19"/>
  <c r="I84" i="19"/>
  <c r="J84" i="19" s="1"/>
  <c r="I69" i="19"/>
  <c r="J69" i="19" s="1"/>
  <c r="I67" i="19"/>
  <c r="J67" i="19" s="1"/>
  <c r="I65" i="19"/>
  <c r="J65" i="19" s="1"/>
  <c r="I64" i="19"/>
  <c r="J64" i="19" s="1"/>
  <c r="I63" i="19"/>
  <c r="J63" i="19" s="1"/>
  <c r="I60" i="19"/>
  <c r="J60" i="19" s="1"/>
  <c r="I58" i="19"/>
  <c r="J58" i="19" s="1"/>
  <c r="I57" i="19"/>
  <c r="J57" i="19" s="1"/>
  <c r="I55" i="19"/>
  <c r="J55" i="19" s="1"/>
  <c r="I54" i="19"/>
  <c r="J54" i="19" s="1"/>
  <c r="I53" i="19"/>
  <c r="J53" i="19" s="1"/>
  <c r="I52" i="19"/>
  <c r="I51" i="19"/>
  <c r="I47" i="19"/>
  <c r="J47" i="19" s="1"/>
  <c r="I42" i="19"/>
  <c r="J42" i="19" s="1"/>
  <c r="I28" i="19"/>
  <c r="K28" i="19" s="1"/>
  <c r="I27" i="19"/>
  <c r="K27" i="19" s="1"/>
  <c r="H22" i="19"/>
  <c r="H16" i="19"/>
  <c r="I16" i="19"/>
  <c r="I81" i="19"/>
  <c r="K81" i="19" s="1"/>
  <c r="I43" i="19"/>
  <c r="K43" i="19" s="1"/>
  <c r="I83" i="19"/>
  <c r="J83" i="19" s="1"/>
  <c r="G16" i="19"/>
  <c r="K13" i="23"/>
  <c r="I86" i="19"/>
  <c r="J86" i="19" s="1"/>
  <c r="K23" i="19"/>
  <c r="K12" i="23"/>
  <c r="K10" i="23"/>
  <c r="K9" i="23" s="1"/>
  <c r="G28" i="20" l="1"/>
  <c r="C6" i="20"/>
  <c r="F6" i="20" s="1"/>
  <c r="G6" i="21"/>
  <c r="F6" i="21"/>
  <c r="F22" i="20"/>
  <c r="H36" i="19"/>
  <c r="H62" i="22"/>
  <c r="G61" i="22"/>
  <c r="F31" i="20"/>
  <c r="C28" i="20"/>
  <c r="C21" i="20" s="1"/>
  <c r="I41" i="19"/>
  <c r="K41" i="19" s="1"/>
  <c r="F15" i="20"/>
  <c r="J71" i="19"/>
  <c r="G18" i="20"/>
  <c r="D21" i="20"/>
  <c r="G21" i="20" s="1"/>
  <c r="J27" i="19"/>
  <c r="F13" i="20"/>
  <c r="G23" i="20"/>
  <c r="F17" i="20"/>
  <c r="F16" i="20"/>
  <c r="I9" i="23"/>
  <c r="I15" i="23" s="1"/>
  <c r="H11" i="19"/>
  <c r="G31" i="20"/>
  <c r="D6" i="20"/>
  <c r="G6" i="20" s="1"/>
  <c r="E21" i="20"/>
  <c r="H15" i="23"/>
  <c r="K15" i="23" s="1"/>
  <c r="G7" i="21"/>
  <c r="G80" i="19"/>
  <c r="H79" i="19"/>
  <c r="F28" i="20"/>
  <c r="F26" i="20"/>
  <c r="J16" i="19"/>
  <c r="F27" i="20"/>
  <c r="I93" i="19"/>
  <c r="K94" i="19"/>
  <c r="J94" i="19"/>
  <c r="H16" i="22"/>
  <c r="H18" i="22"/>
  <c r="H17" i="22"/>
  <c r="G56" i="22"/>
  <c r="G76" i="22"/>
  <c r="H76" i="22" s="1"/>
  <c r="H77" i="22"/>
  <c r="H51" i="22"/>
  <c r="F49" i="22"/>
  <c r="H70" i="22"/>
  <c r="H71" i="22"/>
  <c r="H46" i="22"/>
  <c r="G66" i="22"/>
  <c r="H67" i="22"/>
  <c r="H52" i="22"/>
  <c r="H53" i="22"/>
  <c r="G22" i="20"/>
  <c r="G49" i="22"/>
  <c r="G15" i="22"/>
  <c r="G79" i="22"/>
  <c r="H79" i="22" s="1"/>
  <c r="H61" i="22"/>
  <c r="F66" i="22"/>
  <c r="F15" i="22"/>
  <c r="J74" i="19"/>
  <c r="I73" i="19"/>
  <c r="J73" i="19" s="1"/>
  <c r="J81" i="19"/>
  <c r="I85" i="19"/>
  <c r="J85" i="19" s="1"/>
  <c r="I80" i="19"/>
  <c r="K80" i="19" s="1"/>
  <c r="J75" i="19"/>
  <c r="H10" i="19"/>
  <c r="H97" i="19" s="1"/>
  <c r="H98" i="19" s="1"/>
  <c r="G11" i="19"/>
  <c r="G10" i="19" s="1"/>
  <c r="G97" i="19" s="1"/>
  <c r="G98" i="19" s="1"/>
  <c r="G79" i="19"/>
  <c r="J37" i="19"/>
  <c r="I50" i="19"/>
  <c r="J50" i="19" s="1"/>
  <c r="J28" i="19"/>
  <c r="K37" i="19"/>
  <c r="K22" i="19"/>
  <c r="J22" i="19"/>
  <c r="K19" i="19"/>
  <c r="J19" i="19"/>
  <c r="H35" i="19"/>
  <c r="H34" i="19" s="1"/>
  <c r="I66" i="19"/>
  <c r="K20" i="19"/>
  <c r="I26" i="19"/>
  <c r="J20" i="19"/>
  <c r="J23" i="19"/>
  <c r="J51" i="19"/>
  <c r="J43" i="19"/>
  <c r="K86" i="19"/>
  <c r="K74" i="19"/>
  <c r="K73" i="19"/>
  <c r="I79" i="19"/>
  <c r="I13" i="19"/>
  <c r="I56" i="19"/>
  <c r="J41" i="19"/>
  <c r="K83" i="19"/>
  <c r="K71" i="19"/>
  <c r="I46" i="19"/>
  <c r="G36" i="19"/>
  <c r="G35" i="19" s="1"/>
  <c r="G34" i="19" s="1"/>
  <c r="I70" i="19"/>
  <c r="J93" i="19" l="1"/>
  <c r="K93" i="19"/>
  <c r="F21" i="20"/>
  <c r="J80" i="19"/>
  <c r="J15" i="23"/>
  <c r="I23" i="23"/>
  <c r="F8" i="22"/>
  <c r="I36" i="19"/>
  <c r="K36" i="19" s="1"/>
  <c r="H56" i="22"/>
  <c r="G57" i="22"/>
  <c r="H49" i="22"/>
  <c r="G8" i="22"/>
  <c r="H15" i="22"/>
  <c r="H66" i="22"/>
  <c r="K50" i="19"/>
  <c r="K85" i="19"/>
  <c r="K79" i="19"/>
  <c r="J79" i="19"/>
  <c r="J46" i="19"/>
  <c r="I45" i="19"/>
  <c r="K46" i="19"/>
  <c r="K26" i="19"/>
  <c r="J26" i="19"/>
  <c r="I25" i="19"/>
  <c r="K56" i="19"/>
  <c r="J56" i="19"/>
  <c r="K13" i="19"/>
  <c r="I12" i="19"/>
  <c r="J13" i="19"/>
  <c r="K70" i="19"/>
  <c r="J70" i="19"/>
  <c r="K66" i="19"/>
  <c r="J66" i="19"/>
  <c r="K23" i="23" l="1"/>
  <c r="J23" i="23"/>
  <c r="I35" i="19"/>
  <c r="I34" i="19" s="1"/>
  <c r="J36" i="19"/>
  <c r="H8" i="22"/>
  <c r="J12" i="19"/>
  <c r="K12" i="19"/>
  <c r="I11" i="19"/>
  <c r="J25" i="19"/>
  <c r="K25" i="19"/>
  <c r="J45" i="19"/>
  <c r="K45" i="19"/>
  <c r="J35" i="19" l="1"/>
  <c r="K35" i="19"/>
  <c r="K34" i="19"/>
  <c r="J34" i="19"/>
  <c r="J11" i="19"/>
  <c r="I10" i="19"/>
  <c r="I97" i="19" s="1"/>
  <c r="I98" i="19" s="1"/>
  <c r="K11" i="19"/>
  <c r="J10" i="19" l="1"/>
  <c r="K10" i="19"/>
</calcChain>
</file>

<file path=xl/sharedStrings.xml><?xml version="1.0" encoding="utf-8"?>
<sst xmlns="http://schemas.openxmlformats.org/spreadsheetml/2006/main" count="349" uniqueCount="203">
  <si>
    <t>Rashodi za zaposlene</t>
  </si>
  <si>
    <t>Plaće</t>
  </si>
  <si>
    <t xml:space="preserve">Ostali rashodi za zaposlene </t>
  </si>
  <si>
    <t>Doprinosi na plaće</t>
  </si>
  <si>
    <t>Materijalni rashodi</t>
  </si>
  <si>
    <t>Naknade troškova zaposlenima</t>
  </si>
  <si>
    <t>Naknade za prijevoz, za rad na terenu i odvojeni život</t>
  </si>
  <si>
    <t>Rashodi za materijal i energiju</t>
  </si>
  <si>
    <t>Uredski materijal i ostali materijalni rashodi</t>
  </si>
  <si>
    <t>Rashodi za usluge</t>
  </si>
  <si>
    <t>Ostale usluge</t>
  </si>
  <si>
    <t>Ostali nespomenuti rashodi poslovanja</t>
  </si>
  <si>
    <t>Financijski rashodi</t>
  </si>
  <si>
    <t>Ostali financijski rashodi</t>
  </si>
  <si>
    <t>Postrojenja i oprema</t>
  </si>
  <si>
    <t>Rashodi za nabavu proizvedene dugotrajne imovine</t>
  </si>
  <si>
    <t>Pomoći iz inozemstva i od subjekata unutar općeg proračuna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</si>
  <si>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</si>
  <si>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</si>
  <si>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</si>
  <si>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po posebnim propisima</t>
  </si>
  <si>
    <t>Pomoći proračunskim korisnicima iz proračuna koji im nije nadležan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</si>
  <si>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</si>
  <si>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</si>
  <si>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</si>
  <si>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</si>
  <si>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</si>
  <si>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</si>
  <si>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</si>
  <si>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</si>
  <si>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</si>
  <si>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</si>
  <si>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</si>
  <si>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</si>
  <si>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</si>
  <si>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</si>
  <si>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</si>
  <si>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</si>
  <si>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</si>
  <si>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</si>
  <si>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</si>
  <si>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Pristojbe i naknade</t>
  </si>
  <si>
    <t>3299</t>
  </si>
  <si>
    <t>3431</t>
  </si>
  <si>
    <t>Bankarske usluge i usluge platnog prometa</t>
  </si>
  <si>
    <t xml:space="preserve">UKUPNO PRIHODI </t>
  </si>
  <si>
    <t>UKUPNO RASHODI</t>
  </si>
  <si>
    <t>Stručno usavršavanje zaposlenika</t>
  </si>
  <si>
    <t>Materijal i sirovine</t>
  </si>
  <si>
    <t>Sitni inventar i auto gume</t>
  </si>
  <si>
    <t>Zdravstvene i veterinarske usluge</t>
  </si>
  <si>
    <t>Intelektualne i osobne usluge</t>
  </si>
  <si>
    <t>Članarine i norme</t>
  </si>
  <si>
    <t>Knjige,umjetnička djela i ostale izložb.vrijednosti</t>
  </si>
  <si>
    <t>Knjige</t>
  </si>
  <si>
    <t>Naknade građanima i kućanstvima u naravi</t>
  </si>
  <si>
    <t>Zakupnine i najamnine</t>
  </si>
  <si>
    <t>Prihodi od imovine</t>
  </si>
  <si>
    <t>Prihodi od financijske imovine</t>
  </si>
  <si>
    <t>Oprema za održavanje i zaštitu</t>
  </si>
  <si>
    <t>Rashodi za dodatna ulaganja na nefinancijskoj imovini</t>
  </si>
  <si>
    <t>Dodatna ulaganja na građevinskim objektima</t>
  </si>
  <si>
    <t>Usluge promidžbe i i nformiranja</t>
  </si>
  <si>
    <t>Tekuće donacije</t>
  </si>
  <si>
    <t>IZVJEŠTAJ O PRIHODIMA I RASHODIMA PREMA IZVORIMA FINANCIRANJA</t>
  </si>
  <si>
    <t>BROJČANA OZNAKA I NAZIV</t>
  </si>
  <si>
    <t>INDEKS</t>
  </si>
  <si>
    <t>1 Opći prihodi i primici</t>
  </si>
  <si>
    <t>11 Opći prihodi i primici</t>
  </si>
  <si>
    <t>2 Doprinosi</t>
  </si>
  <si>
    <t>21 Doprinosi za mirovinsko osiguranje</t>
  </si>
  <si>
    <t>3 Vlastiti prihodi</t>
  </si>
  <si>
    <t>4 Pomoći</t>
  </si>
  <si>
    <t>44 Decentralizirana sredstva</t>
  </si>
  <si>
    <t xml:space="preserve">   43 Prihodi za posebne namjene</t>
  </si>
  <si>
    <t>32 Vlastiti prihodi PK - prenesena sredstva</t>
  </si>
  <si>
    <t>5 Ostale pomoći PK</t>
  </si>
  <si>
    <t>58 Ostale pomoći PK</t>
  </si>
  <si>
    <t>6 Donacije</t>
  </si>
  <si>
    <t>62 Donacije PK</t>
  </si>
  <si>
    <t>IZVJEŠTAJ O RASHODIMA PREMA FUNKCIJSKOJ KLASIFIKACIJI</t>
  </si>
  <si>
    <t>II. POSEBNI DIO</t>
  </si>
  <si>
    <t>IZVJEŠTAJ PO PROGRAMSKOJ KLASIFIKACIJI</t>
  </si>
  <si>
    <t>09 Obrazovanje</t>
  </si>
  <si>
    <t>9112 Osnovno obrazovanje</t>
  </si>
  <si>
    <t>096 Dodatne usluge u obrazovanju</t>
  </si>
  <si>
    <t>Osnovna škola Kuna</t>
  </si>
  <si>
    <t>Program 1207</t>
  </si>
  <si>
    <t>Zakonski standard ustanova u obrazovanju</t>
  </si>
  <si>
    <t>1.1.1.</t>
  </si>
  <si>
    <t>Opći izvori i primici</t>
  </si>
  <si>
    <t>4.4.1.</t>
  </si>
  <si>
    <t>5.8.1.</t>
  </si>
  <si>
    <t>Decentralizirana sredstva</t>
  </si>
  <si>
    <t>Ostale pomoći PK</t>
  </si>
  <si>
    <t>Aktivnost A120701</t>
  </si>
  <si>
    <t>Osiguravanje uvijeta rada za redovno poslovanje osnovne škole</t>
  </si>
  <si>
    <t>Kapitalni projekt K120703</t>
  </si>
  <si>
    <t>Kapitalna ulaganja u osnovne škole</t>
  </si>
  <si>
    <t>Rashodi za nabavu nefinacijske imovine</t>
  </si>
  <si>
    <t>Program 1208</t>
  </si>
  <si>
    <t>Program ustanova u obrazovanju iznad standarda</t>
  </si>
  <si>
    <t>3.2.2.</t>
  </si>
  <si>
    <t>4.3.1.</t>
  </si>
  <si>
    <t>6.2.1.</t>
  </si>
  <si>
    <t>Vlastiti prihodi proračunski korisnici-prenesena sredstva</t>
  </si>
  <si>
    <t>Prihodi za posebne namjene - proračunski korisnici</t>
  </si>
  <si>
    <t>Donacije - PK</t>
  </si>
  <si>
    <t>Aktivnost A120801</t>
  </si>
  <si>
    <t>Financiranje radnih materijala za učenike osnovnih škola</t>
  </si>
  <si>
    <t>Naknade građanima i kućanstvima iz proračuna</t>
  </si>
  <si>
    <t>Aktivnsot A120804</t>
  </si>
  <si>
    <t>Financiranje školskih projekata</t>
  </si>
  <si>
    <t>Aktivnost A120808</t>
  </si>
  <si>
    <t>Nabava udžbenika za učenike OŠ</t>
  </si>
  <si>
    <t>Aktivnost A120810</t>
  </si>
  <si>
    <t>Ostale aktivnosti OŠ</t>
  </si>
  <si>
    <t>Aktivnost A120811</t>
  </si>
  <si>
    <t>Dodatne djelatnosti OŠ</t>
  </si>
  <si>
    <t>Aktivnost A120819</t>
  </si>
  <si>
    <t>Aktivnost A120818</t>
  </si>
  <si>
    <t>Organizacija prehrane u OŠ</t>
  </si>
  <si>
    <t>Projekt Opskrbe školskih ustanova higijenskim potrepštinama za učenice OŠ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</si>
  <si>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</si>
  <si>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</si>
  <si>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</si>
  <si>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</si>
  <si>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</si>
  <si>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</si>
  <si>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8 PRIMICI OD FINANCIJSKE IMOVINE I ZADUŽIVANJA</t>
  </si>
  <si>
    <t>5 IZDACI ZA FINANCIJSKU IMOVINU I OTPLATE ZAJMOVA</t>
  </si>
  <si>
    <t>GODIŠNJI IZVJEŠTAJ O IZVRŠENJU FINANCIJSKOG PLANA PRORAČUNSKOG KORISNIKA JEDINICE LOKALNE I PODRUČNE (REGIONALNE) SAMOUPRAVE 
ZA 2023. GODINU</t>
  </si>
  <si>
    <t>I. OPĆI DIO</t>
  </si>
  <si>
    <t>OSTVARENJE/IZVRŠENJE 
2022.</t>
  </si>
  <si>
    <t>OSTVARENJE/IZVRŠENJE 
2023.</t>
  </si>
  <si>
    <t>OSTVARENJE/IZVRŠENJE 2023.</t>
  </si>
  <si>
    <t>OSTVARENJE/IZVRŠENJE 2022.</t>
  </si>
  <si>
    <t>Prihodi poslovanja</t>
  </si>
  <si>
    <t xml:space="preserve"> RAČUN PRIHODA I RASHODA </t>
  </si>
  <si>
    <t>IZVJEŠTAJ O PRIHODIMA I RASHODIMA PREMA EKONOMSKOJ KLASIFIKACIJI</t>
  </si>
  <si>
    <t xml:space="preserve">OSTVARENJE/IZVRŠENJE 2022. </t>
  </si>
  <si>
    <t>Tekuće pomoći proračunskim korisnicima iz proračuna koji im nije nadležan</t>
  </si>
  <si>
    <t>Kapitalne pomoći proračunskim korinsicima iz proračuna koji im nije nadležan</t>
  </si>
  <si>
    <t>Prihodi od upravnih i administrativnih pristojbi, pristojbi po posebnim propisima i naknada</t>
  </si>
  <si>
    <t>Prihodi od prodaje proizvoda i robe te pruženih usluga i prihodi od donacija te povrati po protestiranim jamstvima</t>
  </si>
  <si>
    <t>Donacije od pravnih i fizičkih osoba izvan općeg proračuna i povrat donacija po protestiranim jamstvima</t>
  </si>
  <si>
    <t>Prihodi od nadležnog proračuna za financiranje redovne djelatnosti proračunskih korisnika</t>
  </si>
  <si>
    <t>Kamate na oročena sredstva i depozite po viđenju</t>
  </si>
  <si>
    <t>Ostali neposmenuti prihodi</t>
  </si>
  <si>
    <t>Plaće za prekovrmeni rad</t>
  </si>
  <si>
    <t>Plaće za posbene uvjete rada</t>
  </si>
  <si>
    <t>Naknade građanima i kućanstvima na temelju osiguranja i druge naknade</t>
  </si>
  <si>
    <t>Ostale naknade građanima i kućanstvima iz proračuna</t>
  </si>
  <si>
    <t>Ostali rashodi</t>
  </si>
  <si>
    <t>Tekuće donacije u naravi</t>
  </si>
  <si>
    <t>Rahodi za nabavu nefinancijske imovine</t>
  </si>
  <si>
    <t>UKUPNI PRIHODI</t>
  </si>
  <si>
    <t>Rashodi poslovanja</t>
  </si>
  <si>
    <t>UKUPNI RASHODI</t>
  </si>
  <si>
    <t>SAŽETAK RAČUNA FINANCIRANJA</t>
  </si>
  <si>
    <t>RAZLIKA - VIŠAK/MANJAK</t>
  </si>
  <si>
    <t xml:space="preserve">OSTVARENJE/IZVRŠENJE 
2022. </t>
  </si>
  <si>
    <t xml:space="preserve">OSTVARENJE/IZVRŠENJE 2023. </t>
  </si>
  <si>
    <t xml:space="preserve">   52 Ostale pomoći - prenesena sredstva</t>
  </si>
  <si>
    <t>32 Vlastiti prihodi</t>
  </si>
  <si>
    <r>
      <rPr>
        <b/>
        <i/>
        <sz val="10"/>
        <rFont val="Arial"/>
        <family val="2"/>
        <charset val="238"/>
      </rPr>
      <t>091</t>
    </r>
    <r>
      <rPr>
        <i/>
        <sz val="10"/>
        <rFont val="Arial"/>
        <family val="2"/>
        <charset val="238"/>
      </rPr>
      <t xml:space="preserve"> Predskolško i osnovno obrazovanje</t>
    </r>
  </si>
  <si>
    <t xml:space="preserve">IZVRŠENJE 
2022. </t>
  </si>
  <si>
    <t xml:space="preserve">IZVRŠENJE 
2023. </t>
  </si>
  <si>
    <t xml:space="preserve"> IZVRŠENJE 
2023. </t>
  </si>
  <si>
    <t xml:space="preserve"> RAČUN FINANCIRANJA</t>
  </si>
  <si>
    <t xml:space="preserve">IZVJEŠTAJ RAČUNA FINANCIRANJA PREMA EKONOMSKOJ KLASIFIKACIJI 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</si>
  <si>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</si>
  <si>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</si>
  <si>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</si>
  <si>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</si>
  <si>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</si>
  <si>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</si>
  <si>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</si>
  <si>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</si>
  <si>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</si>
  <si>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</si>
  <si>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>UKUPNI IZDACI</t>
  </si>
  <si>
    <t>RAZLIKA PRIMITAKA I IZDATAKA</t>
  </si>
  <si>
    <t>PRENESENI VIŠAK/MANJAK IZ PRETHODNE GODINE</t>
  </si>
  <si>
    <t>PRIJENOS VIŠKA/MANJKA U SLJEDEĆE RAZDOBLJE</t>
  </si>
  <si>
    <t>REBALANS 2023.</t>
  </si>
  <si>
    <t xml:space="preserve">REBALANS 2023. </t>
  </si>
  <si>
    <t xml:space="preserve">SAŽETAK  RAČUNA PRIHODA I RASHODA </t>
  </si>
  <si>
    <t>Rezultat poslovanja</t>
  </si>
  <si>
    <t>Vlastiti izvori</t>
  </si>
  <si>
    <t>Višak/manjak prihoda</t>
  </si>
  <si>
    <t>Višak prihoda</t>
  </si>
  <si>
    <t>UKUPNO PRIHODI+VIŠAK KORIŠTEN ZA POKRIĆE RASHODA</t>
  </si>
  <si>
    <t>Korisnik</t>
  </si>
  <si>
    <t>K001</t>
  </si>
  <si>
    <t>Podglava: 11156</t>
  </si>
  <si>
    <t>Plaće za prekovremeni rad</t>
  </si>
  <si>
    <t>Plaće za posebne uvjete rada</t>
  </si>
  <si>
    <t>Ostali rashodi za zaposlene</t>
  </si>
  <si>
    <t>Doprisnosi za obvezno zdravstveno osiguranje</t>
  </si>
  <si>
    <t>Naknade za oruhevitm ta rad ba terenu i odvojeni život</t>
  </si>
  <si>
    <t>Namirnice</t>
  </si>
  <si>
    <t xml:space="preserve">REZULTAT GODINE:UKUPNI RASHODI+POKRIVENI MANJAK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</si>
</sst>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\ _k_n"/>
    <numFmt numFmtId="166" formatCode="#,##0.00000\ _k_n"/>
  </numFmts>
  <fonts count="36">
    <font>
      <sz val="10"/>
      <name val="Arial"/>
    </font>
    <font>
      <sz val="10"/>
      <name val="Arial"/>
      <family val="2"/>
      <charset val="238"/>
    </font>
    <font>
      <b/>
      <i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6"/>
      <color indexed="8"/>
      <name val="Times New Roman"/>
      <family val="1"/>
    </font>
    <font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el"/>
      <charset val="238"/>
    </font>
    <font>
      <b/>
      <sz val="10"/>
      <name val="Ariel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11" fillId="0" borderId="0"/>
  </cellStyleXfs>
  <cellXfs count="279">
    <xf numFmtId="0" fontId="0" fillId="0" borderId="0" xfId="0"/>
    <xf numFmtId="3" fontId="4" fillId="0" borderId="0" xfId="0" applyNumberFormat="1" applyFont="1"/>
    <xf numFmtId="49" fontId="5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7" fillId="0" borderId="0" xfId="0" applyNumberFormat="1" applyFont="1" applyAlignment="1">
      <alignment horizontal="center" vertical="center"/>
    </xf>
    <xf numFmtId="3" fontId="14" fillId="0" borderId="0" xfId="0" applyNumberFormat="1" applyFont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21" fillId="4" borderId="1" xfId="0" applyNumberFormat="1" applyFont="1" applyFill="1" applyBorder="1" applyAlignment="1" applyProtection="1">
      <alignment horizontal="left" vertical="center" wrapText="1"/>
    </xf>
    <xf numFmtId="3" fontId="18" fillId="4" borderId="1" xfId="0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 applyProtection="1">
      <alignment horizontal="right" wrapText="1"/>
    </xf>
    <xf numFmtId="0" fontId="0" fillId="0" borderId="1" xfId="0" applyBorder="1"/>
    <xf numFmtId="0" fontId="22" fillId="4" borderId="1" xfId="0" quotePrefix="1" applyFont="1" applyFill="1" applyBorder="1" applyAlignment="1">
      <alignment horizontal="left" vertical="center" wrapText="1" indent="1"/>
    </xf>
    <xf numFmtId="0" fontId="22" fillId="4" borderId="1" xfId="0" applyNumberFormat="1" applyFont="1" applyFill="1" applyBorder="1" applyAlignment="1" applyProtection="1">
      <alignment horizontal="left" vertical="center" wrapText="1" indent="1"/>
    </xf>
    <xf numFmtId="2" fontId="18" fillId="4" borderId="1" xfId="0" applyNumberFormat="1" applyFont="1" applyFill="1" applyBorder="1" applyAlignment="1" applyProtection="1">
      <alignment horizontal="right" wrapText="1"/>
    </xf>
    <xf numFmtId="2" fontId="18" fillId="4" borderId="1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23" fillId="4" borderId="1" xfId="0" applyNumberFormat="1" applyFont="1" applyFill="1" applyBorder="1" applyAlignment="1" applyProtection="1">
      <alignment vertical="top" wrapText="1"/>
    </xf>
    <xf numFmtId="0" fontId="22" fillId="4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/>
    <xf numFmtId="0" fontId="18" fillId="4" borderId="2" xfId="0" applyNumberFormat="1" applyFont="1" applyFill="1" applyBorder="1" applyAlignment="1" applyProtection="1">
      <alignment horizontal="lef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8" fillId="4" borderId="3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31" fillId="0" borderId="2" xfId="0" applyFont="1" applyBorder="1" applyAlignment="1">
      <alignment horizontal="left" vertical="center"/>
    </xf>
    <xf numFmtId="14" fontId="18" fillId="4" borderId="3" xfId="0" applyNumberFormat="1" applyFont="1" applyFill="1" applyBorder="1" applyAlignment="1" applyProtection="1">
      <alignment horizontal="left" vertical="center" wrapText="1"/>
    </xf>
    <xf numFmtId="4" fontId="18" fillId="4" borderId="1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/>
    <xf numFmtId="165" fontId="4" fillId="0" borderId="0" xfId="0" applyNumberFormat="1" applyFont="1" applyBorder="1"/>
    <xf numFmtId="3" fontId="4" fillId="0" borderId="0" xfId="0" applyNumberFormat="1" applyFont="1" applyBorder="1"/>
    <xf numFmtId="4" fontId="6" fillId="2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/>
    <xf numFmtId="0" fontId="3" fillId="2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0" fontId="9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Border="1"/>
    <xf numFmtId="165" fontId="13" fillId="0" borderId="0" xfId="0" applyNumberFormat="1" applyFont="1" applyBorder="1"/>
    <xf numFmtId="3" fontId="13" fillId="0" borderId="0" xfId="0" applyNumberFormat="1" applyFont="1" applyBorder="1"/>
    <xf numFmtId="4" fontId="12" fillId="2" borderId="0" xfId="0" applyNumberFormat="1" applyFont="1" applyFill="1" applyBorder="1" applyAlignment="1">
      <alignment horizontal="right" vertical="center"/>
    </xf>
    <xf numFmtId="4" fontId="13" fillId="4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/>
    <xf numFmtId="3" fontId="10" fillId="0" borderId="0" xfId="0" applyNumberFormat="1" applyFont="1" applyBorder="1"/>
    <xf numFmtId="0" fontId="20" fillId="0" borderId="1" xfId="0" quotePrefix="1" applyNumberFormat="1" applyFont="1" applyFill="1" applyBorder="1" applyAlignment="1" applyProtection="1">
      <alignment horizontal="center" vertical="center" wrapText="1"/>
    </xf>
    <xf numFmtId="0" fontId="24" fillId="0" borderId="1" xfId="0" quotePrefix="1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0" fontId="17" fillId="0" borderId="0" xfId="1" quotePrefix="1" applyNumberFormat="1" applyFont="1" applyFill="1" applyBorder="1" applyAlignment="1" applyProtection="1">
      <alignment horizontal="left" wrapText="1"/>
    </xf>
    <xf numFmtId="0" fontId="27" fillId="0" borderId="0" xfId="1" applyNumberFormat="1" applyFont="1" applyFill="1" applyBorder="1" applyAlignment="1" applyProtection="1">
      <alignment wrapText="1"/>
    </xf>
    <xf numFmtId="0" fontId="27" fillId="0" borderId="0" xfId="1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4" fillId="0" borderId="4" xfId="0" quotePrefix="1" applyFont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" fontId="20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20" fillId="4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32" fillId="0" borderId="0" xfId="0" applyFont="1"/>
    <xf numFmtId="1" fontId="21" fillId="0" borderId="1" xfId="0" applyNumberFormat="1" applyFont="1" applyBorder="1" applyAlignment="1">
      <alignment horizontal="center"/>
    </xf>
    <xf numFmtId="2" fontId="20" fillId="0" borderId="1" xfId="0" quotePrefix="1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/>
    <xf numFmtId="0" fontId="21" fillId="0" borderId="2" xfId="0" quotePrefix="1" applyNumberFormat="1" applyFont="1" applyBorder="1" applyAlignment="1">
      <alignment horizontal="center" vertical="center" wrapText="1"/>
    </xf>
    <xf numFmtId="0" fontId="21" fillId="0" borderId="1" xfId="0" quotePrefix="1" applyNumberFormat="1" applyFont="1" applyBorder="1" applyAlignment="1">
      <alignment horizontal="center" vertical="center" wrapText="1"/>
    </xf>
    <xf numFmtId="0" fontId="21" fillId="0" borderId="1" xfId="0" quotePrefix="1" applyNumberFormat="1" applyFont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2" xfId="0" quotePrefix="1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5" fontId="1" fillId="2" borderId="1" xfId="0" quotePrefix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quotePrefix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1" fillId="0" borderId="7" xfId="0" quotePrefix="1" applyNumberFormat="1" applyFont="1" applyBorder="1" applyAlignment="1">
      <alignment horizontal="center" vertical="center" wrapText="1"/>
    </xf>
    <xf numFmtId="0" fontId="21" fillId="0" borderId="6" xfId="0" quotePrefix="1" applyNumberFormat="1" applyFont="1" applyBorder="1" applyAlignment="1">
      <alignment horizontal="center" vertical="center" wrapText="1"/>
    </xf>
    <xf numFmtId="0" fontId="21" fillId="0" borderId="6" xfId="0" quotePrefix="1" applyNumberFormat="1" applyFont="1" applyBorder="1" applyAlignment="1">
      <alignment horizontal="left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/>
    <xf numFmtId="0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left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center"/>
    </xf>
    <xf numFmtId="3" fontId="23" fillId="0" borderId="1" xfId="0" applyNumberFormat="1" applyFont="1" applyBorder="1"/>
    <xf numFmtId="0" fontId="23" fillId="0" borderId="1" xfId="0" applyNumberFormat="1" applyFont="1" applyBorder="1" applyAlignment="1">
      <alignment horizontal="left" vertical="center"/>
    </xf>
    <xf numFmtId="3" fontId="22" fillId="0" borderId="1" xfId="0" applyNumberFormat="1" applyFont="1" applyBorder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20" fillId="3" borderId="2" xfId="0" applyNumberFormat="1" applyFont="1" applyFill="1" applyBorder="1" applyAlignment="1" applyProtection="1">
      <alignment horizontal="center" vertical="center" wrapText="1"/>
    </xf>
    <xf numFmtId="165" fontId="21" fillId="2" borderId="1" xfId="0" quotePrefix="1" applyNumberFormat="1" applyFont="1" applyFill="1" applyBorder="1" applyAlignment="1">
      <alignment horizontal="center" vertical="center" wrapText="1"/>
    </xf>
    <xf numFmtId="165" fontId="21" fillId="2" borderId="6" xfId="0" quotePrefix="1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2" fillId="4" borderId="1" xfId="0" applyNumberFormat="1" applyFont="1" applyFill="1" applyBorder="1" applyAlignment="1" applyProtection="1">
      <alignment horizontal="left" vertical="center" wrapText="1"/>
    </xf>
    <xf numFmtId="1" fontId="0" fillId="3" borderId="1" xfId="0" applyNumberForma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9" fillId="3" borderId="1" xfId="0" quotePrefix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9" fillId="3" borderId="6" xfId="0" applyNumberFormat="1" applyFont="1" applyFill="1" applyBorder="1" applyAlignment="1">
      <alignment horizontal="center" vertical="center" wrapText="1"/>
    </xf>
    <xf numFmtId="3" fontId="9" fillId="3" borderId="6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20" fillId="4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quotePrefix="1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NumberFormat="1" applyFont="1" applyFill="1" applyBorder="1" applyAlignment="1" applyProtection="1">
      <alignment horizontal="left" vertical="center"/>
    </xf>
    <xf numFmtId="0" fontId="21" fillId="4" borderId="1" xfId="0" applyNumberFormat="1" applyFont="1" applyFill="1" applyBorder="1" applyAlignment="1" applyProtection="1">
      <alignment vertical="center" wrapText="1"/>
    </xf>
    <xf numFmtId="0" fontId="1" fillId="4" borderId="1" xfId="0" applyNumberFormat="1" applyFont="1" applyFill="1" applyBorder="1" applyAlignment="1" applyProtection="1">
      <alignment vertical="center" wrapText="1"/>
    </xf>
    <xf numFmtId="165" fontId="0" fillId="0" borderId="1" xfId="0" applyNumberFormat="1" applyBorder="1"/>
    <xf numFmtId="0" fontId="22" fillId="4" borderId="1" xfId="0" applyFont="1" applyFill="1" applyBorder="1" applyAlignment="1">
      <alignment horizontal="left" vertical="center" indent="1"/>
    </xf>
    <xf numFmtId="0" fontId="1" fillId="4" borderId="1" xfId="0" applyNumberFormat="1" applyFont="1" applyFill="1" applyBorder="1" applyAlignment="1" applyProtection="1">
      <alignment vertical="top" wrapText="1"/>
    </xf>
    <xf numFmtId="0" fontId="23" fillId="4" borderId="1" xfId="0" applyFont="1" applyFill="1" applyBorder="1" applyAlignment="1">
      <alignment vertical="center"/>
    </xf>
    <xf numFmtId="0" fontId="32" fillId="4" borderId="0" xfId="0" applyNumberFormat="1" applyFont="1" applyFill="1" applyBorder="1" applyAlignment="1" applyProtection="1"/>
    <xf numFmtId="1" fontId="21" fillId="3" borderId="1" xfId="0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4" fillId="3" borderId="6" xfId="0" applyNumberFormat="1" applyFont="1" applyFill="1" applyBorder="1"/>
    <xf numFmtId="0" fontId="21" fillId="3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18" fillId="4" borderId="3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65" fontId="18" fillId="4" borderId="1" xfId="0" applyNumberFormat="1" applyFont="1" applyFill="1" applyBorder="1" applyAlignment="1">
      <alignment horizontal="left" vertical="center"/>
    </xf>
    <xf numFmtId="1" fontId="20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4" borderId="8" xfId="0" applyNumberFormat="1" applyFont="1" applyFill="1" applyBorder="1" applyAlignment="1" applyProtection="1">
      <alignment horizontal="left" vertical="center" wrapText="1"/>
    </xf>
    <xf numFmtId="0" fontId="18" fillId="4" borderId="9" xfId="0" applyNumberFormat="1" applyFont="1" applyFill="1" applyBorder="1" applyAlignment="1" applyProtection="1">
      <alignment horizontal="left" vertical="center" wrapText="1"/>
    </xf>
    <xf numFmtId="0" fontId="18" fillId="4" borderId="7" xfId="0" applyNumberFormat="1" applyFont="1" applyFill="1" applyBorder="1" applyAlignment="1" applyProtection="1">
      <alignment horizontal="left" vertical="center" wrapText="1"/>
    </xf>
    <xf numFmtId="0" fontId="31" fillId="0" borderId="7" xfId="0" applyFont="1" applyBorder="1" applyAlignment="1">
      <alignment horizontal="left" vertical="center"/>
    </xf>
    <xf numFmtId="3" fontId="18" fillId="4" borderId="6" xfId="0" applyNumberFormat="1" applyFont="1" applyFill="1" applyBorder="1" applyAlignment="1">
      <alignment horizontal="left" vertical="center"/>
    </xf>
    <xf numFmtId="4" fontId="18" fillId="4" borderId="6" xfId="0" applyNumberFormat="1" applyFont="1" applyFill="1" applyBorder="1" applyAlignment="1">
      <alignment horizontal="left" vertical="center"/>
    </xf>
    <xf numFmtId="4" fontId="18" fillId="4" borderId="1" xfId="0" applyNumberFormat="1" applyFont="1" applyFill="1" applyBorder="1" applyAlignment="1" applyProtection="1">
      <alignment horizontal="right" wrapText="1"/>
    </xf>
    <xf numFmtId="4" fontId="18" fillId="4" borderId="1" xfId="0" applyNumberFormat="1" applyFont="1" applyFill="1" applyBorder="1" applyAlignment="1">
      <alignment horizontal="right"/>
    </xf>
    <xf numFmtId="165" fontId="20" fillId="4" borderId="1" xfId="0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>
      <alignment horizontal="center"/>
    </xf>
    <xf numFmtId="0" fontId="18" fillId="4" borderId="3" xfId="0" applyNumberFormat="1" applyFont="1" applyFill="1" applyBorder="1" applyAlignment="1" applyProtection="1">
      <alignment vertical="center" wrapText="1"/>
    </xf>
    <xf numFmtId="0" fontId="18" fillId="4" borderId="2" xfId="0" applyNumberFormat="1" applyFont="1" applyFill="1" applyBorder="1" applyAlignment="1" applyProtection="1">
      <alignment vertical="center" wrapText="1"/>
    </xf>
    <xf numFmtId="0" fontId="18" fillId="4" borderId="4" xfId="0" applyNumberFormat="1" applyFont="1" applyFill="1" applyBorder="1" applyAlignment="1" applyProtection="1">
      <alignment vertical="center" wrapText="1"/>
    </xf>
    <xf numFmtId="0" fontId="20" fillId="4" borderId="12" xfId="0" applyNumberFormat="1" applyFont="1" applyFill="1" applyBorder="1" applyAlignment="1" applyProtection="1">
      <alignment horizontal="left" vertical="center" wrapText="1"/>
    </xf>
    <xf numFmtId="4" fontId="20" fillId="4" borderId="5" xfId="0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3" fontId="20" fillId="4" borderId="1" xfId="0" applyNumberFormat="1" applyFont="1" applyFill="1" applyBorder="1" applyAlignment="1">
      <alignment horizontal="left" vertical="center"/>
    </xf>
    <xf numFmtId="4" fontId="20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 applyProtection="1">
      <alignment horizontal="left"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4" borderId="0" xfId="0" applyNumberFormat="1" applyFont="1" applyFill="1" applyBorder="1" applyAlignment="1" applyProtection="1">
      <alignment horizontal="left" vertical="center" wrapText="1"/>
    </xf>
    <xf numFmtId="0" fontId="26" fillId="4" borderId="0" xfId="0" applyNumberFormat="1" applyFont="1" applyFill="1" applyBorder="1" applyAlignment="1" applyProtection="1">
      <alignment horizontal="left" wrapText="1"/>
    </xf>
    <xf numFmtId="0" fontId="20" fillId="0" borderId="3" xfId="0" quotePrefix="1" applyFont="1" applyBorder="1" applyAlignment="1">
      <alignment horizontal="left" wrapText="1"/>
    </xf>
    <xf numFmtId="0" fontId="20" fillId="0" borderId="4" xfId="0" quotePrefix="1" applyFont="1" applyBorder="1" applyAlignment="1">
      <alignment horizontal="left" wrapText="1"/>
    </xf>
    <xf numFmtId="0" fontId="21" fillId="0" borderId="3" xfId="0" quotePrefix="1" applyFont="1" applyFill="1" applyBorder="1" applyAlignment="1">
      <alignment horizontal="left" vertical="center"/>
    </xf>
    <xf numFmtId="0" fontId="21" fillId="0" borderId="4" xfId="0" quotePrefix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21" fillId="0" borderId="3" xfId="0" quotePrefix="1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21" fillId="0" borderId="3" xfId="0" quotePrefix="1" applyFont="1" applyBorder="1" applyAlignment="1">
      <alignment horizontal="left" vertical="center"/>
    </xf>
    <xf numFmtId="0" fontId="21" fillId="3" borderId="3" xfId="0" quotePrefix="1" applyNumberFormat="1" applyFont="1" applyFill="1" applyBorder="1" applyAlignment="1" applyProtection="1">
      <alignment horizontal="left" vertical="center" wrapText="1"/>
    </xf>
    <xf numFmtId="0" fontId="1" fillId="3" borderId="4" xfId="0" applyNumberFormat="1" applyFont="1" applyFill="1" applyBorder="1" applyAlignment="1" applyProtection="1">
      <alignment vertical="center" wrapText="1"/>
    </xf>
    <xf numFmtId="0" fontId="20" fillId="0" borderId="3" xfId="0" quotePrefix="1" applyFont="1" applyBorder="1" applyAlignment="1">
      <alignment horizontal="center" wrapText="1"/>
    </xf>
    <xf numFmtId="0" fontId="20" fillId="0" borderId="4" xfId="0" quotePrefix="1" applyFont="1" applyBorder="1" applyAlignment="1">
      <alignment horizontal="center" wrapText="1"/>
    </xf>
    <xf numFmtId="0" fontId="20" fillId="0" borderId="2" xfId="0" quotePrefix="1" applyFont="1" applyBorder="1" applyAlignment="1">
      <alignment horizontal="center" wrapText="1"/>
    </xf>
    <xf numFmtId="0" fontId="20" fillId="0" borderId="1" xfId="0" quotePrefix="1" applyFont="1" applyBorder="1" applyAlignment="1">
      <alignment horizontal="center" wrapText="1"/>
    </xf>
    <xf numFmtId="0" fontId="24" fillId="0" borderId="1" xfId="0" quotePrefix="1" applyFont="1" applyBorder="1" applyAlignment="1">
      <alignment horizontal="center" wrapText="1"/>
    </xf>
    <xf numFmtId="0" fontId="24" fillId="0" borderId="3" xfId="0" quotePrefix="1" applyFont="1" applyBorder="1" applyAlignment="1">
      <alignment horizont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20" fillId="3" borderId="3" xfId="0" applyNumberFormat="1" applyFont="1" applyFill="1" applyBorder="1" applyAlignment="1" applyProtection="1">
      <alignment horizontal="left" vertical="center" wrapText="1"/>
    </xf>
    <xf numFmtId="0" fontId="20" fillId="3" borderId="4" xfId="0" applyNumberFormat="1" applyFont="1" applyFill="1" applyBorder="1" applyAlignment="1" applyProtection="1">
      <alignment horizontal="left" vertical="center" wrapText="1"/>
    </xf>
    <xf numFmtId="0" fontId="20" fillId="3" borderId="2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8" fillId="3" borderId="1" xfId="0" applyNumberFormat="1" applyFont="1" applyFill="1" applyBorder="1" applyAlignment="1" applyProtection="1">
      <alignment horizontal="center" vertical="center" wrapText="1"/>
    </xf>
    <xf numFmtId="0" fontId="29" fillId="3" borderId="6" xfId="0" applyNumberFormat="1" applyFont="1" applyFill="1" applyBorder="1" applyAlignment="1">
      <alignment horizontal="center" vertical="center" wrapText="1"/>
    </xf>
    <xf numFmtId="0" fontId="29" fillId="3" borderId="5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9" fillId="3" borderId="7" xfId="0" quotePrefix="1" applyNumberFormat="1" applyFont="1" applyFill="1" applyBorder="1" applyAlignment="1">
      <alignment horizontal="center" vertical="center" wrapText="1"/>
    </xf>
    <xf numFmtId="0" fontId="9" fillId="3" borderId="6" xfId="0" quotePrefix="1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3" fontId="21" fillId="3" borderId="5" xfId="0" quotePrefix="1" applyNumberFormat="1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 wrapText="1"/>
    </xf>
    <xf numFmtId="0" fontId="21" fillId="3" borderId="7" xfId="0" applyNumberFormat="1" applyFont="1" applyFill="1" applyBorder="1" applyAlignment="1">
      <alignment horizontal="center" vertical="center" wrapText="1"/>
    </xf>
    <xf numFmtId="0" fontId="21" fillId="3" borderId="10" xfId="0" applyNumberFormat="1" applyFont="1" applyFill="1" applyBorder="1" applyAlignment="1">
      <alignment horizontal="center" vertical="center" wrapText="1"/>
    </xf>
    <xf numFmtId="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NumberFormat="1" applyFont="1" applyFill="1" applyBorder="1" applyAlignment="1">
      <alignment horizontal="center" vertical="center" wrapText="1"/>
    </xf>
    <xf numFmtId="0" fontId="29" fillId="3" borderId="13" xfId="0" quotePrefix="1" applyNumberFormat="1" applyFont="1" applyFill="1" applyBorder="1" applyAlignment="1">
      <alignment horizontal="center" vertical="center" wrapText="1"/>
    </xf>
    <xf numFmtId="0" fontId="29" fillId="3" borderId="9" xfId="0" quotePrefix="1" applyNumberFormat="1" applyFont="1" applyFill="1" applyBorder="1" applyAlignment="1">
      <alignment horizontal="center" vertical="center" wrapText="1"/>
    </xf>
    <xf numFmtId="0" fontId="29" fillId="3" borderId="7" xfId="0" quotePrefix="1" applyNumberFormat="1" applyFont="1" applyFill="1" applyBorder="1" applyAlignment="1">
      <alignment horizontal="center" vertical="center" wrapText="1"/>
    </xf>
    <xf numFmtId="0" fontId="29" fillId="3" borderId="10" xfId="0" quotePrefix="1" applyNumberFormat="1" applyFont="1" applyFill="1" applyBorder="1" applyAlignment="1">
      <alignment horizontal="center" vertical="center" wrapText="1"/>
    </xf>
    <xf numFmtId="0" fontId="29" fillId="3" borderId="11" xfId="0" quotePrefix="1" applyNumberFormat="1" applyFont="1" applyFill="1" applyBorder="1" applyAlignment="1">
      <alignment horizontal="center" vertical="center" wrapText="1"/>
    </xf>
    <xf numFmtId="0" fontId="29" fillId="3" borderId="12" xfId="0" quotePrefix="1" applyNumberFormat="1" applyFont="1" applyFill="1" applyBorder="1" applyAlignment="1">
      <alignment horizontal="center" vertical="center" wrapText="1"/>
    </xf>
    <xf numFmtId="0" fontId="9" fillId="3" borderId="3" xfId="0" quotePrefix="1" applyNumberFormat="1" applyFont="1" applyFill="1" applyBorder="1" applyAlignment="1">
      <alignment horizontal="center" vertical="center" wrapText="1"/>
    </xf>
    <xf numFmtId="0" fontId="9" fillId="3" borderId="4" xfId="0" quotePrefix="1" applyNumberFormat="1" applyFont="1" applyFill="1" applyBorder="1" applyAlignment="1">
      <alignment horizontal="center" vertical="center" wrapText="1"/>
    </xf>
    <xf numFmtId="0" fontId="9" fillId="3" borderId="2" xfId="0" quotePrefix="1" applyNumberFormat="1" applyFont="1" applyFill="1" applyBorder="1" applyAlignment="1">
      <alignment horizontal="center" vertical="center" wrapText="1"/>
    </xf>
    <xf numFmtId="0" fontId="29" fillId="3" borderId="8" xfId="0" quotePrefix="1" applyNumberFormat="1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 applyProtection="1">
      <alignment horizontal="center" vertical="center" wrapText="1"/>
    </xf>
    <xf numFmtId="0" fontId="20" fillId="3" borderId="4" xfId="0" applyNumberFormat="1" applyFont="1" applyFill="1" applyBorder="1" applyAlignment="1" applyProtection="1">
      <alignment horizontal="center" vertical="center" wrapText="1"/>
    </xf>
    <xf numFmtId="0" fontId="20" fillId="3" borderId="2" xfId="0" applyNumberFormat="1" applyFont="1" applyFill="1" applyBorder="1" applyAlignment="1" applyProtection="1">
      <alignment horizontal="center" vertical="center" wrapText="1"/>
    </xf>
    <xf numFmtId="0" fontId="18" fillId="4" borderId="3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6" xfId="0" applyNumberFormat="1" applyFont="1" applyFill="1" applyBorder="1" applyAlignment="1" applyProtection="1">
      <alignment horizontal="left" vertical="center" wrapText="1"/>
    </xf>
    <xf numFmtId="0" fontId="18" fillId="4" borderId="5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24" fillId="3" borderId="3" xfId="0" applyNumberFormat="1" applyFont="1" applyFill="1" applyBorder="1" applyAlignment="1" applyProtection="1">
      <alignment horizontal="center" vertical="center" wrapText="1"/>
    </xf>
    <xf numFmtId="0" fontId="24" fillId="3" borderId="4" xfId="0" applyNumberFormat="1" applyFont="1" applyFill="1" applyBorder="1" applyAlignment="1" applyProtection="1">
      <alignment horizontal="center" vertical="center" wrapText="1"/>
    </xf>
    <xf numFmtId="0" fontId="24" fillId="3" borderId="2" xfId="0" applyNumberFormat="1" applyFont="1" applyFill="1" applyBorder="1" applyAlignment="1" applyProtection="1">
      <alignment horizontal="center" vertical="center" wrapText="1"/>
    </xf>
    <xf numFmtId="0" fontId="20" fillId="4" borderId="3" xfId="0" applyNumberFormat="1" applyFont="1" applyFill="1" applyBorder="1" applyAlignment="1" applyProtection="1">
      <alignment horizontal="left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20" fillId="4" borderId="2" xfId="0" applyNumberFormat="1" applyFont="1" applyFill="1" applyBorder="1" applyAlignment="1" applyProtection="1">
      <alignment horizontal="left" vertical="center" wrapText="1"/>
    </xf>
    <xf numFmtId="0" fontId="20" fillId="4" borderId="10" xfId="0" applyNumberFormat="1" applyFont="1" applyFill="1" applyBorder="1" applyAlignment="1" applyProtection="1">
      <alignment horizontal="left" vertical="center" wrapText="1"/>
    </xf>
    <xf numFmtId="0" fontId="20" fillId="4" borderId="11" xfId="0" applyNumberFormat="1" applyFont="1" applyFill="1" applyBorder="1" applyAlignment="1" applyProtection="1">
      <alignment horizontal="left" vertical="center" wrapText="1"/>
    </xf>
    <xf numFmtId="0" fontId="20" fillId="4" borderId="12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no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44"/>
  <sheetViews>
    <sheetView tabSelected="1" topLeftCell="A2" workbookViewId="0">
      <selection activeCell="K12" sqref="K12"/>
    </sheetView>
  </sheetViews>
  <sheetFormatPr defaultRowHeight="13.2"/>
  <cols>
    <col min="6" max="6" width="34.5546875" customWidth="1"/>
    <col min="7" max="7" width="24.109375" customWidth="1"/>
    <col min="8" max="8" width="29.88671875" customWidth="1"/>
    <col min="9" max="9" width="24.44140625" customWidth="1"/>
    <col min="10" max="10" width="12.33203125" customWidth="1"/>
    <col min="11" max="11" width="12" customWidth="1"/>
  </cols>
  <sheetData>
    <row r="1" spans="2:11" ht="18.75" customHeight="1">
      <c r="B1" s="207" t="s">
        <v>131</v>
      </c>
      <c r="C1" s="207"/>
      <c r="D1" s="207"/>
      <c r="E1" s="207"/>
      <c r="F1" s="207"/>
      <c r="G1" s="207"/>
      <c r="H1" s="207"/>
      <c r="I1" s="207"/>
      <c r="J1" s="207"/>
      <c r="K1" s="207"/>
    </row>
    <row r="2" spans="2:11" ht="36.75" customHeight="1"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2:11" ht="18.75" customHeight="1">
      <c r="B3" s="207" t="s">
        <v>132</v>
      </c>
      <c r="C3" s="207"/>
      <c r="D3" s="207"/>
      <c r="E3" s="207"/>
      <c r="F3" s="207"/>
      <c r="G3" s="207"/>
      <c r="H3" s="207"/>
      <c r="I3" s="207"/>
      <c r="J3" s="207"/>
      <c r="K3" s="207"/>
    </row>
    <row r="4" spans="2:11" ht="18.75" customHeight="1"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2:11" ht="18.75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2:11" ht="15.75" customHeight="1">
      <c r="B6" s="208" t="s">
        <v>187</v>
      </c>
      <c r="C6" s="208"/>
      <c r="D6" s="208"/>
      <c r="E6" s="208"/>
      <c r="F6" s="208"/>
      <c r="G6" s="208"/>
      <c r="H6" s="208"/>
      <c r="I6" s="208"/>
      <c r="J6" s="208"/>
      <c r="K6" s="208"/>
    </row>
    <row r="7" spans="2:11" ht="39.6">
      <c r="B7" s="223" t="s">
        <v>65</v>
      </c>
      <c r="C7" s="223"/>
      <c r="D7" s="223"/>
      <c r="E7" s="223"/>
      <c r="F7" s="223"/>
      <c r="G7" s="60" t="s">
        <v>133</v>
      </c>
      <c r="H7" s="60" t="s">
        <v>185</v>
      </c>
      <c r="I7" s="60" t="s">
        <v>134</v>
      </c>
      <c r="J7" s="67" t="s">
        <v>66</v>
      </c>
      <c r="K7" s="67" t="s">
        <v>66</v>
      </c>
    </row>
    <row r="8" spans="2:11">
      <c r="B8" s="224">
        <v>1</v>
      </c>
      <c r="C8" s="224"/>
      <c r="D8" s="224"/>
      <c r="E8" s="224"/>
      <c r="F8" s="225"/>
      <c r="G8" s="61">
        <v>2</v>
      </c>
      <c r="H8" s="62">
        <v>3</v>
      </c>
      <c r="I8" s="62">
        <v>4</v>
      </c>
      <c r="J8" s="82">
        <v>5</v>
      </c>
      <c r="K8" s="82">
        <v>6</v>
      </c>
    </row>
    <row r="9" spans="2:11" ht="22.5" customHeight="1">
      <c r="B9" s="210" t="s">
        <v>125</v>
      </c>
      <c r="C9" s="211"/>
      <c r="D9" s="68"/>
      <c r="E9" s="68"/>
      <c r="F9" s="68"/>
      <c r="G9" s="87">
        <f>G10+G11</f>
        <v>490024.06</v>
      </c>
      <c r="H9" s="196">
        <f>H10+H11</f>
        <v>481648.27</v>
      </c>
      <c r="I9" s="78">
        <f>I10+I11</f>
        <v>511689.22</v>
      </c>
      <c r="J9" s="80">
        <f>J10+J11</f>
        <v>104.42124413237994</v>
      </c>
      <c r="K9" s="80">
        <f>K10+K11</f>
        <v>106.23711365142034</v>
      </c>
    </row>
    <row r="10" spans="2:11">
      <c r="B10" s="226" t="s">
        <v>123</v>
      </c>
      <c r="C10" s="216"/>
      <c r="D10" s="216"/>
      <c r="E10" s="216"/>
      <c r="F10" s="214"/>
      <c r="G10" s="69">
        <v>490024.06</v>
      </c>
      <c r="H10" s="197">
        <f>382664+99315.27-331</f>
        <v>481648.27</v>
      </c>
      <c r="I10" s="75">
        <f>511689.22</f>
        <v>511689.22</v>
      </c>
      <c r="J10" s="81">
        <f>I10/G10*100</f>
        <v>104.42124413237994</v>
      </c>
      <c r="K10" s="81">
        <f>I10/H10*100</f>
        <v>106.23711365142034</v>
      </c>
    </row>
    <row r="11" spans="2:11">
      <c r="B11" s="212" t="s">
        <v>124</v>
      </c>
      <c r="C11" s="214"/>
      <c r="D11" s="214"/>
      <c r="E11" s="214"/>
      <c r="F11" s="214"/>
      <c r="G11" s="73">
        <v>0</v>
      </c>
      <c r="H11" s="74">
        <v>0</v>
      </c>
      <c r="I11" s="74">
        <v>0</v>
      </c>
      <c r="J11" s="81">
        <v>0</v>
      </c>
      <c r="K11" s="81">
        <v>0</v>
      </c>
    </row>
    <row r="12" spans="2:11">
      <c r="B12" s="212" t="s">
        <v>128</v>
      </c>
      <c r="C12" s="213"/>
      <c r="D12" s="63"/>
      <c r="E12" s="63"/>
      <c r="F12" s="63"/>
      <c r="G12" s="71">
        <f>G13+G14</f>
        <v>489696.21</v>
      </c>
      <c r="H12" s="70">
        <f>H13+H14</f>
        <v>481979.27</v>
      </c>
      <c r="I12" s="70">
        <f>I13+I14</f>
        <v>512400.16000000003</v>
      </c>
      <c r="J12" s="86">
        <f>J13+J14</f>
        <v>175.71747968895451</v>
      </c>
      <c r="K12" s="86">
        <f>K13+K14</f>
        <v>207.00798302466501</v>
      </c>
    </row>
    <row r="13" spans="2:11">
      <c r="B13" s="215" t="s">
        <v>126</v>
      </c>
      <c r="C13" s="216"/>
      <c r="D13" s="216"/>
      <c r="E13" s="216"/>
      <c r="F13" s="216"/>
      <c r="G13" s="72">
        <v>410511.76</v>
      </c>
      <c r="H13" s="75">
        <f>1750+44600+368639+3245.27+225+260+10500+94+331+2381</f>
        <v>432025.27</v>
      </c>
      <c r="I13" s="75">
        <v>462465.07</v>
      </c>
      <c r="J13" s="81">
        <f>I13/G13*100</f>
        <v>112.65574218872561</v>
      </c>
      <c r="K13" s="81">
        <f>I13/H13*100</f>
        <v>107.04583785110533</v>
      </c>
    </row>
    <row r="14" spans="2:11">
      <c r="B14" s="217" t="s">
        <v>127</v>
      </c>
      <c r="C14" s="214"/>
      <c r="D14" s="214"/>
      <c r="E14" s="214"/>
      <c r="F14" s="214"/>
      <c r="G14" s="69">
        <v>79184.45</v>
      </c>
      <c r="H14" s="76">
        <f>49495+459</f>
        <v>49954</v>
      </c>
      <c r="I14" s="77">
        <v>49935.09</v>
      </c>
      <c r="J14" s="81">
        <f>I14/G14*100</f>
        <v>63.061737500228901</v>
      </c>
      <c r="K14" s="81">
        <f>I14/H14*100</f>
        <v>99.962145173559662</v>
      </c>
    </row>
    <row r="15" spans="2:11">
      <c r="B15" s="218" t="s">
        <v>160</v>
      </c>
      <c r="C15" s="219"/>
      <c r="D15" s="219"/>
      <c r="E15" s="219"/>
      <c r="F15" s="219"/>
      <c r="G15" s="88">
        <f>G9-G12</f>
        <v>327.84999999997672</v>
      </c>
      <c r="H15" s="79">
        <f>H9-H12</f>
        <v>-331</v>
      </c>
      <c r="I15" s="79">
        <f>I9-I12</f>
        <v>-710.94000000006054</v>
      </c>
      <c r="J15" s="141">
        <f>I15/G15*100</f>
        <v>-216.84916882724141</v>
      </c>
      <c r="K15" s="141">
        <f>I15/H15*100</f>
        <v>214.78549848944425</v>
      </c>
    </row>
    <row r="16" spans="2:11" ht="17.399999999999999">
      <c r="B16" s="64"/>
      <c r="C16" s="65"/>
      <c r="D16" s="65"/>
      <c r="E16" s="65"/>
      <c r="F16" s="65"/>
      <c r="G16" s="66"/>
      <c r="H16" s="66"/>
      <c r="I16" s="66"/>
    </row>
    <row r="17" spans="2:13" ht="18" customHeight="1">
      <c r="B17" s="209" t="s">
        <v>159</v>
      </c>
      <c r="C17" s="209"/>
      <c r="D17" s="209"/>
      <c r="E17" s="209"/>
      <c r="F17" s="209"/>
      <c r="G17" s="209"/>
      <c r="H17" s="209"/>
      <c r="I17" s="209"/>
      <c r="J17" s="209"/>
      <c r="K17" s="209"/>
    </row>
    <row r="18" spans="2:13" ht="26.4">
      <c r="B18" s="220" t="s">
        <v>65</v>
      </c>
      <c r="C18" s="221"/>
      <c r="D18" s="221"/>
      <c r="E18" s="221"/>
      <c r="F18" s="222"/>
      <c r="G18" s="60" t="s">
        <v>140</v>
      </c>
      <c r="H18" s="60" t="s">
        <v>185</v>
      </c>
      <c r="I18" s="60" t="s">
        <v>135</v>
      </c>
      <c r="J18" s="67" t="s">
        <v>66</v>
      </c>
      <c r="K18" s="67" t="s">
        <v>66</v>
      </c>
    </row>
    <row r="19" spans="2:13">
      <c r="B19" s="226" t="s">
        <v>129</v>
      </c>
      <c r="C19" s="227"/>
      <c r="D19" s="227"/>
      <c r="E19" s="227"/>
      <c r="F19" s="228"/>
      <c r="G19" s="165">
        <v>0</v>
      </c>
      <c r="H19" s="92">
        <v>0</v>
      </c>
      <c r="I19" s="89">
        <v>0</v>
      </c>
      <c r="J19" s="86">
        <v>0</v>
      </c>
      <c r="K19" s="86">
        <v>0</v>
      </c>
    </row>
    <row r="20" spans="2:13">
      <c r="B20" s="226" t="s">
        <v>130</v>
      </c>
      <c r="C20" s="216"/>
      <c r="D20" s="216"/>
      <c r="E20" s="216"/>
      <c r="F20" s="216"/>
      <c r="G20" s="165">
        <v>0</v>
      </c>
      <c r="H20" s="92">
        <v>0</v>
      </c>
      <c r="I20" s="89">
        <v>0</v>
      </c>
      <c r="J20" s="86">
        <v>0</v>
      </c>
      <c r="K20" s="86">
        <v>0</v>
      </c>
    </row>
    <row r="21" spans="2:13">
      <c r="B21" s="229" t="s">
        <v>182</v>
      </c>
      <c r="C21" s="230"/>
      <c r="D21" s="230"/>
      <c r="E21" s="230"/>
      <c r="F21" s="231"/>
      <c r="G21" s="90">
        <f>G19-G20</f>
        <v>0</v>
      </c>
      <c r="H21" s="93">
        <f>H19-H20</f>
        <v>0</v>
      </c>
      <c r="I21" s="90">
        <f>I19-I20</f>
        <v>0</v>
      </c>
      <c r="J21" s="164">
        <v>0</v>
      </c>
      <c r="K21" s="164">
        <v>0</v>
      </c>
      <c r="M21" s="85"/>
    </row>
    <row r="22" spans="2:13">
      <c r="B22" s="229" t="s">
        <v>183</v>
      </c>
      <c r="C22" s="230"/>
      <c r="D22" s="230"/>
      <c r="E22" s="230"/>
      <c r="F22" s="231"/>
      <c r="G22" s="90">
        <v>3.36</v>
      </c>
      <c r="H22" s="93">
        <v>331</v>
      </c>
      <c r="I22" s="90">
        <v>331.21</v>
      </c>
      <c r="J22" s="164">
        <f>I22/G22*100</f>
        <v>9857.4404761904752</v>
      </c>
      <c r="K22" s="164">
        <f>I22/H22*100</f>
        <v>100.06344410876132</v>
      </c>
    </row>
    <row r="23" spans="2:13">
      <c r="B23" s="218" t="s">
        <v>184</v>
      </c>
      <c r="C23" s="219"/>
      <c r="D23" s="219"/>
      <c r="E23" s="219"/>
      <c r="F23" s="219"/>
      <c r="G23" s="91">
        <f>G22+G15</f>
        <v>331.20999999997673</v>
      </c>
      <c r="H23" s="93">
        <f>H22</f>
        <v>331</v>
      </c>
      <c r="I23" s="90">
        <f>I22+I15</f>
        <v>-379.73000000006056</v>
      </c>
      <c r="J23" s="164">
        <f>I23/G23*100</f>
        <v>-114.64931614386258</v>
      </c>
      <c r="K23" s="164">
        <f>I23/H23*100</f>
        <v>-114.72205438068295</v>
      </c>
    </row>
    <row r="28" spans="2:13" ht="24" customHeight="1"/>
    <row r="29" spans="2:13" ht="39.75" customHeight="1">
      <c r="B29" s="163"/>
      <c r="G29" s="25"/>
      <c r="H29" s="25"/>
    </row>
    <row r="30" spans="2:13" ht="39" customHeight="1">
      <c r="G30" s="25"/>
      <c r="H30" s="176"/>
    </row>
    <row r="37" spans="2:12"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44" spans="2:12">
      <c r="L44" s="85"/>
    </row>
  </sheetData>
  <mergeCells count="19">
    <mergeCell ref="B23:F23"/>
    <mergeCell ref="B18:F18"/>
    <mergeCell ref="B15:F15"/>
    <mergeCell ref="B7:F7"/>
    <mergeCell ref="B8:F8"/>
    <mergeCell ref="B19:F19"/>
    <mergeCell ref="B20:F20"/>
    <mergeCell ref="B21:F21"/>
    <mergeCell ref="B10:F10"/>
    <mergeCell ref="B22:F22"/>
    <mergeCell ref="B1:K2"/>
    <mergeCell ref="B3:K3"/>
    <mergeCell ref="B6:K6"/>
    <mergeCell ref="B17:K17"/>
    <mergeCell ref="B9:C9"/>
    <mergeCell ref="B12:C12"/>
    <mergeCell ref="B11:F11"/>
    <mergeCell ref="B13:F13"/>
    <mergeCell ref="B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U98"/>
  <sheetViews>
    <sheetView topLeftCell="A48" zoomScaleNormal="100" workbookViewId="0">
      <selection activeCell="K66" sqref="K66"/>
    </sheetView>
  </sheetViews>
  <sheetFormatPr defaultColWidth="9.109375" defaultRowHeight="13.8"/>
  <cols>
    <col min="1" max="2" width="9.109375" style="1"/>
    <col min="3" max="5" width="11.5546875" style="1" customWidth="1"/>
    <col min="6" max="6" width="46.33203125" style="1" customWidth="1"/>
    <col min="7" max="7" width="16.6640625" style="1" customWidth="1"/>
    <col min="8" max="8" width="17.6640625" style="1" customWidth="1"/>
    <col min="9" max="9" width="15.109375" style="1" customWidth="1"/>
    <col min="10" max="10" width="15.88671875" style="6" customWidth="1"/>
    <col min="11" max="11" width="14.109375" style="6" customWidth="1"/>
    <col min="12" max="12" width="11" style="6" bestFit="1" customWidth="1"/>
    <col min="13" max="13" width="17.44140625" style="6" customWidth="1"/>
    <col min="14" max="18" width="15.109375" style="1" customWidth="1"/>
    <col min="19" max="19" width="16.6640625" style="1" hidden="1" customWidth="1"/>
    <col min="20" max="20" width="16.44140625" style="1" hidden="1" customWidth="1"/>
    <col min="21" max="21" width="12.5546875" style="1" hidden="1" customWidth="1"/>
    <col min="22" max="22" width="15.109375" style="1" customWidth="1"/>
    <col min="23" max="16384" width="9.109375" style="1"/>
  </cols>
  <sheetData>
    <row r="1" spans="2:13" ht="20.399999999999999" customHeight="1">
      <c r="B1" s="232" t="s">
        <v>132</v>
      </c>
      <c r="C1" s="232"/>
      <c r="D1" s="232"/>
      <c r="E1" s="232"/>
      <c r="F1" s="232"/>
      <c r="G1" s="232"/>
      <c r="H1" s="232"/>
      <c r="I1" s="232"/>
      <c r="J1" s="232"/>
      <c r="K1" s="232"/>
      <c r="L1" s="133"/>
      <c r="M1" s="83"/>
    </row>
    <row r="3" spans="2:13" ht="20.25" customHeight="1">
      <c r="B3" s="232" t="s">
        <v>138</v>
      </c>
      <c r="C3" s="232"/>
      <c r="D3" s="232"/>
      <c r="E3" s="232"/>
      <c r="F3" s="232"/>
      <c r="G3" s="232"/>
      <c r="H3" s="232"/>
      <c r="I3" s="232"/>
      <c r="J3" s="232"/>
      <c r="K3" s="232"/>
      <c r="L3" s="133"/>
      <c r="M3" s="84"/>
    </row>
    <row r="4" spans="2:13" ht="20.399999999999999">
      <c r="C4" s="42"/>
      <c r="D4" s="42"/>
      <c r="E4" s="42"/>
      <c r="F4" s="42"/>
      <c r="G4" s="42"/>
      <c r="H4" s="42"/>
      <c r="I4" s="42"/>
      <c r="J4" s="42"/>
      <c r="K4" s="42"/>
      <c r="L4" s="42"/>
      <c r="M4" s="84"/>
    </row>
    <row r="5" spans="2:13" ht="20.25" customHeight="1">
      <c r="B5" s="232" t="s">
        <v>139</v>
      </c>
      <c r="C5" s="232"/>
      <c r="D5" s="232"/>
      <c r="E5" s="232"/>
      <c r="F5" s="232"/>
      <c r="G5" s="232"/>
      <c r="H5" s="232"/>
      <c r="I5" s="232"/>
      <c r="J5" s="232"/>
      <c r="K5" s="232"/>
      <c r="L5" s="133"/>
      <c r="M5" s="84"/>
    </row>
    <row r="6" spans="2:13" s="3" customFormat="1" ht="14.4">
      <c r="C6" s="2"/>
      <c r="D6" s="2"/>
      <c r="E6" s="2"/>
      <c r="J6" s="4"/>
      <c r="K6" s="4"/>
      <c r="L6" s="4"/>
      <c r="M6" s="4"/>
    </row>
    <row r="7" spans="2:13" ht="15.75" customHeight="1">
      <c r="B7" s="243" t="s">
        <v>65</v>
      </c>
      <c r="C7" s="244"/>
      <c r="D7" s="244"/>
      <c r="E7" s="244"/>
      <c r="F7" s="245"/>
      <c r="G7" s="241" t="s">
        <v>136</v>
      </c>
      <c r="H7" s="241" t="s">
        <v>186</v>
      </c>
      <c r="I7" s="239" t="s">
        <v>135</v>
      </c>
      <c r="J7" s="236" t="s">
        <v>66</v>
      </c>
      <c r="K7" s="236" t="s">
        <v>66</v>
      </c>
      <c r="L7" s="1"/>
      <c r="M7" s="1"/>
    </row>
    <row r="8" spans="2:13" ht="31.5" customHeight="1">
      <c r="B8" s="246"/>
      <c r="C8" s="247"/>
      <c r="D8" s="247"/>
      <c r="E8" s="247"/>
      <c r="F8" s="248"/>
      <c r="G8" s="242"/>
      <c r="H8" s="242"/>
      <c r="I8" s="240"/>
      <c r="J8" s="236"/>
      <c r="K8" s="236"/>
      <c r="L8" s="1"/>
      <c r="M8" s="1"/>
    </row>
    <row r="9" spans="2:13" s="9" customFormat="1" ht="12" customHeight="1">
      <c r="B9" s="255">
        <v>1</v>
      </c>
      <c r="C9" s="256"/>
      <c r="D9" s="256"/>
      <c r="E9" s="256"/>
      <c r="F9" s="257"/>
      <c r="G9" s="142">
        <v>2</v>
      </c>
      <c r="H9" s="142">
        <v>3</v>
      </c>
      <c r="I9" s="143">
        <v>4</v>
      </c>
      <c r="J9" s="144">
        <v>5</v>
      </c>
      <c r="K9" s="144">
        <v>6</v>
      </c>
    </row>
    <row r="10" spans="2:13" s="9" customFormat="1" ht="24.9" customHeight="1">
      <c r="B10" s="94"/>
      <c r="C10" s="95"/>
      <c r="D10" s="96"/>
      <c r="E10" s="96"/>
      <c r="F10" s="97" t="s">
        <v>156</v>
      </c>
      <c r="G10" s="98">
        <f>G11</f>
        <v>490024.06</v>
      </c>
      <c r="H10" s="98">
        <f>H11</f>
        <v>481648.27</v>
      </c>
      <c r="I10" s="136">
        <f>I11</f>
        <v>511689.22000000009</v>
      </c>
      <c r="J10" s="86">
        <f>I10/G10*100</f>
        <v>104.42124413237997</v>
      </c>
      <c r="K10" s="86">
        <f>I10/H10*100</f>
        <v>106.23711365142037</v>
      </c>
    </row>
    <row r="11" spans="2:13" s="9" customFormat="1" ht="24.9" customHeight="1">
      <c r="B11" s="99">
        <v>6</v>
      </c>
      <c r="C11" s="100"/>
      <c r="D11" s="100"/>
      <c r="E11" s="100"/>
      <c r="F11" s="97" t="s">
        <v>137</v>
      </c>
      <c r="G11" s="98">
        <f>G12+G16+G19+G22+G25</f>
        <v>490024.06</v>
      </c>
      <c r="H11" s="98">
        <f>H12+H16+H19+H22+H25</f>
        <v>481648.27</v>
      </c>
      <c r="I11" s="136">
        <f>I12+I16+I19+I22+I25</f>
        <v>511689.22000000009</v>
      </c>
      <c r="J11" s="86">
        <f t="shared" ref="J11:J28" si="0">I11/G11*100</f>
        <v>104.42124413237997</v>
      </c>
      <c r="K11" s="86">
        <f t="shared" ref="K11:K28" si="1">I11/H11*100</f>
        <v>106.23711365142037</v>
      </c>
    </row>
    <row r="12" spans="2:13" s="9" customFormat="1" ht="24.9" customHeight="1">
      <c r="B12" s="94"/>
      <c r="C12" s="101">
        <v>63</v>
      </c>
      <c r="D12" s="101"/>
      <c r="E12" s="101"/>
      <c r="F12" s="102" t="s">
        <v>16</v>
      </c>
      <c r="G12" s="103">
        <f>G13</f>
        <v>420349.33999999997</v>
      </c>
      <c r="H12" s="104">
        <f>H13</f>
        <v>382073</v>
      </c>
      <c r="I12" s="103">
        <f>I13</f>
        <v>412129.95000000007</v>
      </c>
      <c r="J12" s="86">
        <f t="shared" si="0"/>
        <v>98.044628784239336</v>
      </c>
      <c r="K12" s="86">
        <f t="shared" si="1"/>
        <v>107.86680817540106</v>
      </c>
    </row>
    <row r="13" spans="2:13" s="9" customFormat="1" ht="24.9" customHeight="1">
      <c r="B13" s="94"/>
      <c r="C13" s="94"/>
      <c r="D13" s="101">
        <v>636</v>
      </c>
      <c r="E13" s="101"/>
      <c r="F13" s="102" t="s">
        <v>21</v>
      </c>
      <c r="G13" s="103">
        <f>G14+G15</f>
        <v>420349.33999999997</v>
      </c>
      <c r="H13" s="105">
        <v>382073</v>
      </c>
      <c r="I13" s="103">
        <f>I14+I15</f>
        <v>412129.95000000007</v>
      </c>
      <c r="J13" s="86">
        <f t="shared" si="0"/>
        <v>98.044628784239336</v>
      </c>
      <c r="K13" s="86">
        <f t="shared" si="1"/>
        <v>107.86680817540106</v>
      </c>
    </row>
    <row r="14" spans="2:13" s="9" customFormat="1" ht="24.9" customHeight="1">
      <c r="B14" s="94"/>
      <c r="C14" s="94"/>
      <c r="D14" s="100"/>
      <c r="E14" s="106">
        <v>6361</v>
      </c>
      <c r="F14" s="107" t="s">
        <v>141</v>
      </c>
      <c r="G14" s="108">
        <v>363083.06</v>
      </c>
      <c r="H14" s="108"/>
      <c r="I14" s="109">
        <f>367597.84+13269.45+476.94+17429.05+1664.43+93.66+8778+1871.28+509.21</f>
        <v>411689.86000000004</v>
      </c>
      <c r="J14" s="86">
        <f t="shared" si="0"/>
        <v>113.38723982330656</v>
      </c>
      <c r="K14" s="86">
        <v>0</v>
      </c>
    </row>
    <row r="15" spans="2:13" s="9" customFormat="1" ht="24.9" customHeight="1">
      <c r="B15" s="94"/>
      <c r="C15" s="94"/>
      <c r="D15" s="100"/>
      <c r="E15" s="106">
        <v>6362</v>
      </c>
      <c r="F15" s="107" t="s">
        <v>142</v>
      </c>
      <c r="G15" s="108">
        <v>57266.28</v>
      </c>
      <c r="H15" s="108"/>
      <c r="I15" s="109">
        <f>177+263.09</f>
        <v>440.09</v>
      </c>
      <c r="J15" s="86">
        <f t="shared" si="0"/>
        <v>0.76849762198627181</v>
      </c>
      <c r="K15" s="86">
        <v>0</v>
      </c>
    </row>
    <row r="16" spans="2:13" s="9" customFormat="1" ht="24.9" customHeight="1">
      <c r="B16" s="94"/>
      <c r="C16" s="101">
        <v>64</v>
      </c>
      <c r="D16" s="101"/>
      <c r="E16" s="101"/>
      <c r="F16" s="102" t="s">
        <v>57</v>
      </c>
      <c r="G16" s="103">
        <f>G17</f>
        <v>0.03</v>
      </c>
      <c r="H16" s="104">
        <f>SUM(H17:H17)</f>
        <v>0</v>
      </c>
      <c r="I16" s="103">
        <f>SUM(I17:I17)</f>
        <v>0</v>
      </c>
      <c r="J16" s="86">
        <f t="shared" si="0"/>
        <v>0</v>
      </c>
      <c r="K16" s="86">
        <v>0</v>
      </c>
    </row>
    <row r="17" spans="2:15" s="9" customFormat="1" ht="24.9" customHeight="1">
      <c r="B17" s="94"/>
      <c r="C17" s="94"/>
      <c r="D17" s="101">
        <v>641</v>
      </c>
      <c r="E17" s="101"/>
      <c r="F17" s="102" t="s">
        <v>58</v>
      </c>
      <c r="G17" s="110">
        <f>G18</f>
        <v>0.03</v>
      </c>
      <c r="H17" s="105">
        <v>0</v>
      </c>
      <c r="I17" s="103">
        <v>0</v>
      </c>
      <c r="J17" s="86">
        <f t="shared" si="0"/>
        <v>0</v>
      </c>
      <c r="K17" s="86">
        <v>0</v>
      </c>
    </row>
    <row r="18" spans="2:15" s="9" customFormat="1" ht="24.9" customHeight="1">
      <c r="B18" s="94"/>
      <c r="C18" s="94"/>
      <c r="D18" s="100"/>
      <c r="E18" s="106">
        <v>6413</v>
      </c>
      <c r="F18" s="107" t="s">
        <v>147</v>
      </c>
      <c r="G18" s="108">
        <v>0.03</v>
      </c>
      <c r="H18" s="108"/>
      <c r="I18" s="111"/>
      <c r="J18" s="86">
        <f t="shared" si="0"/>
        <v>0</v>
      </c>
      <c r="K18" s="86">
        <v>0</v>
      </c>
    </row>
    <row r="19" spans="2:15" s="9" customFormat="1" ht="24.9" customHeight="1">
      <c r="B19" s="94"/>
      <c r="C19" s="107">
        <v>65</v>
      </c>
      <c r="D19" s="100"/>
      <c r="E19" s="100"/>
      <c r="F19" s="107" t="s">
        <v>143</v>
      </c>
      <c r="G19" s="110">
        <f>G20</f>
        <v>167.23</v>
      </c>
      <c r="H19" s="105">
        <f>H20</f>
        <v>194</v>
      </c>
      <c r="I19" s="109">
        <f>I20</f>
        <v>168</v>
      </c>
      <c r="J19" s="86">
        <f t="shared" si="0"/>
        <v>100.46044370029301</v>
      </c>
      <c r="K19" s="86">
        <f t="shared" si="1"/>
        <v>86.597938144329902</v>
      </c>
    </row>
    <row r="20" spans="2:15" s="9" customFormat="1" ht="24.9" customHeight="1">
      <c r="B20" s="94"/>
      <c r="C20" s="94"/>
      <c r="D20" s="101">
        <v>652</v>
      </c>
      <c r="E20" s="101"/>
      <c r="F20" s="102" t="s">
        <v>20</v>
      </c>
      <c r="G20" s="103">
        <f>G21</f>
        <v>167.23</v>
      </c>
      <c r="H20" s="104">
        <v>194</v>
      </c>
      <c r="I20" s="103">
        <f>SUM(I21:I21)</f>
        <v>168</v>
      </c>
      <c r="J20" s="86">
        <f t="shared" si="0"/>
        <v>100.46044370029301</v>
      </c>
      <c r="K20" s="86">
        <f t="shared" si="1"/>
        <v>86.597938144329902</v>
      </c>
    </row>
    <row r="21" spans="2:15" s="9" customFormat="1" ht="24.9" customHeight="1">
      <c r="B21" s="94"/>
      <c r="C21" s="94"/>
      <c r="D21" s="101"/>
      <c r="E21" s="112">
        <v>6526</v>
      </c>
      <c r="F21" s="102" t="s">
        <v>148</v>
      </c>
      <c r="G21" s="103">
        <v>167.23</v>
      </c>
      <c r="H21" s="105"/>
      <c r="I21" s="103">
        <v>168</v>
      </c>
      <c r="J21" s="86">
        <f t="shared" si="0"/>
        <v>100.46044370029301</v>
      </c>
      <c r="K21" s="86">
        <v>0</v>
      </c>
    </row>
    <row r="22" spans="2:15" s="9" customFormat="1" ht="24.9" customHeight="1">
      <c r="B22" s="94"/>
      <c r="C22" s="101">
        <v>66</v>
      </c>
      <c r="D22" s="101"/>
      <c r="E22" s="101"/>
      <c r="F22" s="102" t="s">
        <v>144</v>
      </c>
      <c r="G22" s="103">
        <f>SUM(G23:G23)</f>
        <v>48.84</v>
      </c>
      <c r="H22" s="104">
        <f>SUM(H23:H23)</f>
        <v>66</v>
      </c>
      <c r="I22" s="103">
        <f>I23</f>
        <v>76</v>
      </c>
      <c r="J22" s="86">
        <f t="shared" si="0"/>
        <v>155.6101556101556</v>
      </c>
      <c r="K22" s="86">
        <f t="shared" si="1"/>
        <v>115.15151515151516</v>
      </c>
    </row>
    <row r="23" spans="2:15" s="9" customFormat="1" ht="24.9" customHeight="1">
      <c r="B23" s="94"/>
      <c r="C23" s="94"/>
      <c r="D23" s="101">
        <v>663</v>
      </c>
      <c r="E23" s="101"/>
      <c r="F23" s="102" t="s">
        <v>145</v>
      </c>
      <c r="G23" s="103">
        <v>48.84</v>
      </c>
      <c r="H23" s="105">
        <v>66</v>
      </c>
      <c r="I23" s="103">
        <f>I24</f>
        <v>76</v>
      </c>
      <c r="J23" s="86">
        <f t="shared" si="0"/>
        <v>155.6101556101556</v>
      </c>
      <c r="K23" s="86">
        <f t="shared" si="1"/>
        <v>115.15151515151516</v>
      </c>
    </row>
    <row r="24" spans="2:15" s="9" customFormat="1" ht="24.9" customHeight="1">
      <c r="B24" s="94"/>
      <c r="C24" s="94"/>
      <c r="D24" s="101"/>
      <c r="E24" s="112">
        <v>6631</v>
      </c>
      <c r="F24" s="102" t="s">
        <v>63</v>
      </c>
      <c r="G24" s="103">
        <v>48.84</v>
      </c>
      <c r="H24" s="105"/>
      <c r="I24" s="103">
        <v>76</v>
      </c>
      <c r="J24" s="86">
        <f t="shared" si="0"/>
        <v>155.6101556101556</v>
      </c>
      <c r="K24" s="86">
        <v>0</v>
      </c>
    </row>
    <row r="25" spans="2:15" ht="24.9" customHeight="1">
      <c r="B25" s="94"/>
      <c r="C25" s="101">
        <v>67</v>
      </c>
      <c r="D25" s="101"/>
      <c r="E25" s="101"/>
      <c r="F25" s="102" t="s">
        <v>17</v>
      </c>
      <c r="G25" s="103">
        <f>G26</f>
        <v>69458.62</v>
      </c>
      <c r="H25" s="103">
        <f>H26</f>
        <v>99315.26999999999</v>
      </c>
      <c r="I25" s="103">
        <f>I26</f>
        <v>99315.26999999999</v>
      </c>
      <c r="J25" s="86">
        <f t="shared" si="0"/>
        <v>142.9848015984193</v>
      </c>
      <c r="K25" s="86">
        <f t="shared" si="1"/>
        <v>100</v>
      </c>
      <c r="L25" s="43"/>
      <c r="M25" s="44"/>
      <c r="N25" s="45"/>
      <c r="O25" s="46"/>
    </row>
    <row r="26" spans="2:15" ht="24.9" customHeight="1">
      <c r="B26" s="94"/>
      <c r="C26" s="94"/>
      <c r="D26" s="101">
        <v>671</v>
      </c>
      <c r="E26" s="101"/>
      <c r="F26" s="102" t="s">
        <v>146</v>
      </c>
      <c r="G26" s="103">
        <f>G27+G28</f>
        <v>69458.62</v>
      </c>
      <c r="H26" s="103">
        <f>H27+H28</f>
        <v>99315.26999999999</v>
      </c>
      <c r="I26" s="103">
        <f>I27+I28</f>
        <v>99315.26999999999</v>
      </c>
      <c r="J26" s="86">
        <f t="shared" si="0"/>
        <v>142.9848015984193</v>
      </c>
      <c r="K26" s="86">
        <f t="shared" si="1"/>
        <v>100</v>
      </c>
      <c r="L26" s="43"/>
      <c r="M26" s="44"/>
      <c r="N26" s="45"/>
      <c r="O26" s="46"/>
    </row>
    <row r="27" spans="2:15" ht="24.9" customHeight="1">
      <c r="B27" s="94"/>
      <c r="C27" s="94"/>
      <c r="D27" s="101"/>
      <c r="E27" s="112">
        <v>6711</v>
      </c>
      <c r="F27" s="102" t="s">
        <v>18</v>
      </c>
      <c r="G27" s="103">
        <v>47566.99</v>
      </c>
      <c r="H27" s="103">
        <v>49820.27</v>
      </c>
      <c r="I27" s="103">
        <f>46350+225+3245.27</f>
        <v>49820.27</v>
      </c>
      <c r="J27" s="86">
        <f t="shared" si="0"/>
        <v>104.73706660858717</v>
      </c>
      <c r="K27" s="86">
        <f t="shared" si="1"/>
        <v>100</v>
      </c>
      <c r="L27" s="47"/>
      <c r="M27" s="44"/>
      <c r="N27" s="45"/>
      <c r="O27" s="46"/>
    </row>
    <row r="28" spans="2:15" ht="24.9" customHeight="1">
      <c r="B28" s="94"/>
      <c r="C28" s="94"/>
      <c r="D28" s="101"/>
      <c r="E28" s="112">
        <v>6712</v>
      </c>
      <c r="F28" s="102" t="s">
        <v>19</v>
      </c>
      <c r="G28" s="103">
        <v>21891.63</v>
      </c>
      <c r="H28" s="104">
        <v>49495</v>
      </c>
      <c r="I28" s="103">
        <f>49495</f>
        <v>49495</v>
      </c>
      <c r="J28" s="86">
        <f t="shared" si="0"/>
        <v>226.09097632291429</v>
      </c>
      <c r="K28" s="86">
        <f t="shared" si="1"/>
        <v>100</v>
      </c>
      <c r="L28" s="47"/>
      <c r="M28" s="44"/>
      <c r="N28" s="45"/>
      <c r="O28" s="46"/>
    </row>
    <row r="29" spans="2:15" ht="24.9" customHeight="1">
      <c r="B29" s="166"/>
      <c r="C29" s="166"/>
      <c r="D29" s="167"/>
      <c r="E29" s="167"/>
      <c r="F29" s="168"/>
      <c r="G29" s="169"/>
      <c r="H29" s="170"/>
      <c r="I29" s="169"/>
      <c r="J29" s="171"/>
      <c r="K29" s="171"/>
      <c r="L29" s="47"/>
      <c r="M29" s="44"/>
      <c r="N29" s="45"/>
      <c r="O29" s="46"/>
    </row>
    <row r="30" spans="2:15">
      <c r="B30" s="172"/>
      <c r="L30" s="51"/>
      <c r="M30" s="44"/>
      <c r="N30" s="45"/>
      <c r="O30" s="46"/>
    </row>
    <row r="31" spans="2:15" ht="24.75" customHeight="1">
      <c r="B31" s="249" t="s">
        <v>65</v>
      </c>
      <c r="C31" s="250"/>
      <c r="D31" s="250"/>
      <c r="E31" s="250"/>
      <c r="F31" s="251"/>
      <c r="G31" s="234" t="s">
        <v>136</v>
      </c>
      <c r="H31" s="234" t="s">
        <v>185</v>
      </c>
      <c r="I31" s="234" t="s">
        <v>135</v>
      </c>
      <c r="J31" s="233" t="s">
        <v>66</v>
      </c>
      <c r="K31" s="233" t="s">
        <v>66</v>
      </c>
      <c r="L31" s="51"/>
      <c r="M31" s="44"/>
      <c r="N31" s="45"/>
      <c r="O31" s="46"/>
    </row>
    <row r="32" spans="2:15" ht="29.25" customHeight="1">
      <c r="B32" s="252"/>
      <c r="C32" s="253"/>
      <c r="D32" s="253"/>
      <c r="E32" s="253"/>
      <c r="F32" s="254"/>
      <c r="G32" s="235"/>
      <c r="H32" s="235"/>
      <c r="I32" s="235"/>
      <c r="J32" s="233"/>
      <c r="K32" s="233"/>
      <c r="L32" s="51"/>
      <c r="M32" s="44"/>
      <c r="N32" s="45"/>
      <c r="O32" s="46"/>
    </row>
    <row r="33" spans="2:16" ht="24.9" customHeight="1">
      <c r="B33" s="145"/>
      <c r="C33" s="237">
        <v>1</v>
      </c>
      <c r="D33" s="238"/>
      <c r="E33" s="238"/>
      <c r="F33" s="238"/>
      <c r="G33" s="146">
        <v>2</v>
      </c>
      <c r="H33" s="146">
        <v>3</v>
      </c>
      <c r="I33" s="147">
        <v>4</v>
      </c>
      <c r="J33" s="144">
        <v>5</v>
      </c>
      <c r="K33" s="144">
        <v>6</v>
      </c>
      <c r="L33" s="52"/>
      <c r="M33" s="44"/>
      <c r="N33" s="45"/>
      <c r="O33" s="46"/>
    </row>
    <row r="34" spans="2:16" s="8" customFormat="1" ht="24.9" customHeight="1">
      <c r="B34" s="94"/>
      <c r="C34" s="113"/>
      <c r="D34" s="114"/>
      <c r="E34" s="114"/>
      <c r="F34" s="115" t="s">
        <v>158</v>
      </c>
      <c r="G34" s="116">
        <f>G35+G79</f>
        <v>489696.21000000008</v>
      </c>
      <c r="H34" s="116">
        <f>H35+H79</f>
        <v>481979.27</v>
      </c>
      <c r="I34" s="137">
        <f>I35+I79</f>
        <v>512400.16000000003</v>
      </c>
      <c r="J34" s="86">
        <f t="shared" ref="J34:J39" si="2">I34/G34*100</f>
        <v>104.63633361589626</v>
      </c>
      <c r="K34" s="86">
        <f>I34/H34*100</f>
        <v>106.31165942053897</v>
      </c>
      <c r="L34" s="52"/>
      <c r="M34" s="44"/>
      <c r="N34" s="45"/>
      <c r="O34" s="48"/>
    </row>
    <row r="35" spans="2:16" ht="24.9" customHeight="1">
      <c r="B35" s="99">
        <v>3</v>
      </c>
      <c r="C35" s="113"/>
      <c r="D35" s="114"/>
      <c r="E35" s="114"/>
      <c r="F35" s="115" t="s">
        <v>157</v>
      </c>
      <c r="G35" s="116">
        <f>G36+G45+G70+G73+G76</f>
        <v>410511.76000000007</v>
      </c>
      <c r="H35" s="116">
        <f>H36+H45+H70+H73+H76</f>
        <v>430034.27</v>
      </c>
      <c r="I35" s="137">
        <f>I36+I45+I70+I73+I76</f>
        <v>462465.07</v>
      </c>
      <c r="J35" s="86">
        <f t="shared" si="2"/>
        <v>112.65574218872558</v>
      </c>
      <c r="K35" s="86">
        <f>I35/H35*100</f>
        <v>107.54144547596172</v>
      </c>
      <c r="L35" s="56"/>
      <c r="M35" s="5"/>
    </row>
    <row r="36" spans="2:16" ht="24.9" customHeight="1">
      <c r="B36" s="117"/>
      <c r="C36" s="118">
        <v>31</v>
      </c>
      <c r="D36" s="119"/>
      <c r="E36" s="119"/>
      <c r="F36" s="120" t="s">
        <v>0</v>
      </c>
      <c r="G36" s="103">
        <f>SUM(G37,G41,G43)</f>
        <v>341909.94</v>
      </c>
      <c r="H36" s="104">
        <f>SUM(H37,H41,H43)</f>
        <v>346212</v>
      </c>
      <c r="I36" s="103">
        <f>SUM(I37,I41,I43)</f>
        <v>381344.23</v>
      </c>
      <c r="J36" s="86">
        <f t="shared" si="2"/>
        <v>111.53353131529313</v>
      </c>
      <c r="K36" s="86">
        <f>I36/H36*100</f>
        <v>110.14760609106557</v>
      </c>
      <c r="L36" s="56"/>
      <c r="M36" s="5"/>
    </row>
    <row r="37" spans="2:16" ht="24.9" customHeight="1">
      <c r="B37" s="117"/>
      <c r="C37" s="121"/>
      <c r="D37" s="119">
        <v>311</v>
      </c>
      <c r="E37" s="119"/>
      <c r="F37" s="122" t="s">
        <v>1</v>
      </c>
      <c r="G37" s="103">
        <f>G38+G39+G40</f>
        <v>283599.59999999998</v>
      </c>
      <c r="H37" s="104">
        <f>284023</f>
        <v>284023</v>
      </c>
      <c r="I37" s="103">
        <f>I38+I39+I40</f>
        <v>315534.64999999997</v>
      </c>
      <c r="J37" s="86">
        <f t="shared" si="2"/>
        <v>111.2606117921182</v>
      </c>
      <c r="K37" s="86">
        <f>I37/H37*100</f>
        <v>111.09475288973074</v>
      </c>
      <c r="L37" s="56"/>
      <c r="M37" s="5"/>
    </row>
    <row r="38" spans="2:16" ht="24.9" customHeight="1">
      <c r="B38" s="117"/>
      <c r="C38" s="121"/>
      <c r="D38" s="119"/>
      <c r="E38" s="119">
        <v>3111</v>
      </c>
      <c r="F38" s="102" t="s">
        <v>22</v>
      </c>
      <c r="G38" s="103">
        <v>256210.86</v>
      </c>
      <c r="H38" s="104"/>
      <c r="I38" s="103">
        <v>288736.94</v>
      </c>
      <c r="J38" s="86">
        <f t="shared" si="2"/>
        <v>112.69504344975854</v>
      </c>
      <c r="K38" s="86">
        <v>0</v>
      </c>
      <c r="L38" s="52"/>
    </row>
    <row r="39" spans="2:16" s="10" customFormat="1" ht="24.9" customHeight="1">
      <c r="B39" s="117"/>
      <c r="C39" s="121"/>
      <c r="D39" s="119"/>
      <c r="E39" s="119">
        <v>3113</v>
      </c>
      <c r="F39" s="102" t="s">
        <v>149</v>
      </c>
      <c r="G39" s="103">
        <v>4088.8</v>
      </c>
      <c r="H39" s="104"/>
      <c r="I39" s="103">
        <v>1805.97</v>
      </c>
      <c r="J39" s="86">
        <f t="shared" si="2"/>
        <v>44.168704754451184</v>
      </c>
      <c r="K39" s="86">
        <v>0</v>
      </c>
      <c r="L39" s="56"/>
      <c r="M39" s="84"/>
    </row>
    <row r="40" spans="2:16" s="10" customFormat="1" ht="24.9" customHeight="1">
      <c r="B40" s="117"/>
      <c r="C40" s="121"/>
      <c r="D40" s="119"/>
      <c r="E40" s="119">
        <v>3114</v>
      </c>
      <c r="F40" s="102" t="s">
        <v>150</v>
      </c>
      <c r="G40" s="103">
        <v>23299.94</v>
      </c>
      <c r="H40" s="104"/>
      <c r="I40" s="103">
        <v>24991.74</v>
      </c>
      <c r="J40" s="86">
        <f t="shared" ref="J40:J87" si="3">I40/G40*100</f>
        <v>107.26096290376714</v>
      </c>
      <c r="K40" s="86">
        <v>0</v>
      </c>
      <c r="L40" s="52"/>
      <c r="M40" s="49"/>
      <c r="N40" s="50"/>
      <c r="O40" s="50"/>
      <c r="P40" s="50"/>
    </row>
    <row r="41" spans="2:16" s="10" customFormat="1" ht="24.9" customHeight="1">
      <c r="B41" s="117"/>
      <c r="C41" s="121"/>
      <c r="D41" s="119">
        <v>312</v>
      </c>
      <c r="E41" s="119"/>
      <c r="F41" s="122" t="s">
        <v>2</v>
      </c>
      <c r="G41" s="103">
        <f>SUM(G42)</f>
        <v>11516.4</v>
      </c>
      <c r="H41" s="104">
        <f>11295</f>
        <v>11295</v>
      </c>
      <c r="I41" s="103">
        <f>SUM(I42)</f>
        <v>13746.39</v>
      </c>
      <c r="J41" s="86">
        <f t="shared" si="3"/>
        <v>119.36360320933626</v>
      </c>
      <c r="K41" s="86">
        <f>I41/H41*100</f>
        <v>121.70332005312083</v>
      </c>
      <c r="L41" s="56"/>
      <c r="M41" s="50"/>
      <c r="N41" s="50"/>
      <c r="O41" s="50"/>
    </row>
    <row r="42" spans="2:16" s="10" customFormat="1" ht="24.9" customHeight="1">
      <c r="B42" s="117"/>
      <c r="C42" s="121"/>
      <c r="D42" s="119"/>
      <c r="E42" s="119">
        <v>3121</v>
      </c>
      <c r="F42" s="122" t="s">
        <v>2</v>
      </c>
      <c r="G42" s="103">
        <v>11516.4</v>
      </c>
      <c r="H42" s="104"/>
      <c r="I42" s="103">
        <f>772.19+597.26+500+5700+78.77+398.17+5700</f>
        <v>13746.39</v>
      </c>
      <c r="J42" s="86">
        <f t="shared" si="3"/>
        <v>119.36360320933626</v>
      </c>
      <c r="K42" s="86">
        <v>0</v>
      </c>
      <c r="L42" s="52"/>
      <c r="M42" s="50"/>
      <c r="N42" s="50"/>
      <c r="O42" s="50"/>
    </row>
    <row r="43" spans="2:16" s="11" customFormat="1" ht="24.9" customHeight="1">
      <c r="B43" s="117"/>
      <c r="C43" s="121"/>
      <c r="D43" s="119">
        <v>313</v>
      </c>
      <c r="E43" s="119"/>
      <c r="F43" s="122" t="s">
        <v>3</v>
      </c>
      <c r="G43" s="103">
        <f>SUM(G44)</f>
        <v>46793.94</v>
      </c>
      <c r="H43" s="104">
        <v>50894</v>
      </c>
      <c r="I43" s="103">
        <f>SUM(I44:I44)</f>
        <v>52063.19</v>
      </c>
      <c r="J43" s="86">
        <f t="shared" si="3"/>
        <v>111.26053929205364</v>
      </c>
      <c r="K43" s="86">
        <f>I43/H43*100</f>
        <v>102.29730420088812</v>
      </c>
      <c r="L43" s="52"/>
      <c r="M43" s="53"/>
      <c r="N43" s="54"/>
      <c r="O43" s="55"/>
    </row>
    <row r="44" spans="2:16" s="11" customFormat="1" ht="24.9" customHeight="1">
      <c r="B44" s="117"/>
      <c r="C44" s="121"/>
      <c r="D44" s="119"/>
      <c r="E44" s="119">
        <v>3132</v>
      </c>
      <c r="F44" s="122" t="s">
        <v>23</v>
      </c>
      <c r="G44" s="103">
        <v>46793.94</v>
      </c>
      <c r="H44" s="104"/>
      <c r="I44" s="103">
        <v>52063.19</v>
      </c>
      <c r="J44" s="86">
        <f t="shared" si="3"/>
        <v>111.26053929205364</v>
      </c>
      <c r="K44" s="86">
        <v>0</v>
      </c>
      <c r="L44" s="56"/>
      <c r="M44" s="53"/>
      <c r="N44" s="54"/>
      <c r="O44" s="55"/>
    </row>
    <row r="45" spans="2:16" s="10" customFormat="1" ht="24.9" customHeight="1">
      <c r="B45" s="117"/>
      <c r="C45" s="118">
        <v>32</v>
      </c>
      <c r="D45" s="119"/>
      <c r="E45" s="119"/>
      <c r="F45" s="122" t="s">
        <v>4</v>
      </c>
      <c r="G45" s="103">
        <f>G46+G50+G56+G66</f>
        <v>63168.590000000004</v>
      </c>
      <c r="H45" s="104">
        <f>SUM(H46,H50,H56,H66)</f>
        <v>77832</v>
      </c>
      <c r="I45" s="103">
        <f>SUM(I46,I50,I56,I66)</f>
        <v>75131.399999999994</v>
      </c>
      <c r="J45" s="86">
        <f t="shared" si="3"/>
        <v>118.93790885628441</v>
      </c>
      <c r="K45" s="86">
        <f>I45/H45*100</f>
        <v>96.530218933086644</v>
      </c>
      <c r="L45" s="56"/>
      <c r="M45" s="53"/>
      <c r="N45" s="54"/>
      <c r="O45" s="50"/>
    </row>
    <row r="46" spans="2:16" s="11" customFormat="1" ht="24.9" customHeight="1">
      <c r="B46" s="117"/>
      <c r="C46" s="121"/>
      <c r="D46" s="119">
        <v>321</v>
      </c>
      <c r="E46" s="119"/>
      <c r="F46" s="122" t="s">
        <v>5</v>
      </c>
      <c r="G46" s="103">
        <f>G47+G48+G49</f>
        <v>17322.97</v>
      </c>
      <c r="H46" s="104">
        <f>150+929+18072</f>
        <v>19151</v>
      </c>
      <c r="I46" s="103">
        <f>I47+I48+I49</f>
        <v>18472.649999999998</v>
      </c>
      <c r="J46" s="86">
        <f t="shared" si="3"/>
        <v>106.63673723385769</v>
      </c>
      <c r="K46" s="86">
        <f>I46/H46*100</f>
        <v>96.457887316589193</v>
      </c>
      <c r="L46" s="56"/>
      <c r="M46" s="53"/>
      <c r="N46" s="54"/>
      <c r="O46" s="55"/>
    </row>
    <row r="47" spans="2:16" s="11" customFormat="1" ht="24.9" customHeight="1">
      <c r="B47" s="117"/>
      <c r="C47" s="121"/>
      <c r="D47" s="119"/>
      <c r="E47" s="119" t="s">
        <v>24</v>
      </c>
      <c r="F47" s="122" t="s">
        <v>25</v>
      </c>
      <c r="G47" s="103">
        <v>873.02</v>
      </c>
      <c r="H47" s="104"/>
      <c r="I47" s="103">
        <f>531+155.54+357.06</f>
        <v>1043.5999999999999</v>
      </c>
      <c r="J47" s="86">
        <f t="shared" si="3"/>
        <v>119.53907126984488</v>
      </c>
      <c r="K47" s="86">
        <v>0</v>
      </c>
      <c r="L47" s="52"/>
      <c r="M47" s="53"/>
      <c r="N47" s="54"/>
      <c r="O47" s="55"/>
    </row>
    <row r="48" spans="2:16" s="10" customFormat="1" ht="24.9" customHeight="1">
      <c r="B48" s="117"/>
      <c r="C48" s="121"/>
      <c r="D48" s="119"/>
      <c r="E48" s="119" t="s">
        <v>26</v>
      </c>
      <c r="F48" s="122" t="s">
        <v>6</v>
      </c>
      <c r="G48" s="103">
        <v>16330.5</v>
      </c>
      <c r="H48" s="104"/>
      <c r="I48" s="103">
        <v>17429.05</v>
      </c>
      <c r="J48" s="86">
        <f t="shared" si="3"/>
        <v>106.7269832521968</v>
      </c>
      <c r="K48" s="86">
        <v>0</v>
      </c>
      <c r="L48" s="56"/>
      <c r="M48" s="53"/>
      <c r="N48" s="54"/>
      <c r="O48" s="50"/>
    </row>
    <row r="49" spans="2:15" s="11" customFormat="1" ht="24.9" customHeight="1">
      <c r="B49" s="117"/>
      <c r="C49" s="121"/>
      <c r="D49" s="119"/>
      <c r="E49" s="119">
        <v>3213</v>
      </c>
      <c r="F49" s="122" t="s">
        <v>47</v>
      </c>
      <c r="G49" s="103">
        <v>119.45</v>
      </c>
      <c r="H49" s="104"/>
      <c r="I49" s="103">
        <v>0</v>
      </c>
      <c r="J49" s="86">
        <f t="shared" si="3"/>
        <v>0</v>
      </c>
      <c r="K49" s="86">
        <v>0</v>
      </c>
      <c r="L49" s="56"/>
      <c r="M49" s="53"/>
      <c r="N49" s="54"/>
      <c r="O49" s="55"/>
    </row>
    <row r="50" spans="2:15" s="11" customFormat="1" ht="24.9" customHeight="1">
      <c r="B50" s="117"/>
      <c r="C50" s="121"/>
      <c r="D50" s="119">
        <v>322</v>
      </c>
      <c r="E50" s="119"/>
      <c r="F50" s="122" t="s">
        <v>7</v>
      </c>
      <c r="G50" s="103">
        <f>SUM(G51:G55)</f>
        <v>8759.6299999999992</v>
      </c>
      <c r="H50" s="104">
        <f>1600+9571+664+66+10500</f>
        <v>22401</v>
      </c>
      <c r="I50" s="103">
        <f>SUM(I51:I55)</f>
        <v>21054.230000000003</v>
      </c>
      <c r="J50" s="86">
        <f t="shared" si="3"/>
        <v>240.35524331507156</v>
      </c>
      <c r="K50" s="86">
        <f>I50/H50*100</f>
        <v>93.987902325789037</v>
      </c>
      <c r="L50" s="56"/>
      <c r="M50" s="53"/>
      <c r="N50" s="54"/>
      <c r="O50" s="55"/>
    </row>
    <row r="51" spans="2:15" s="10" customFormat="1" ht="24.9" customHeight="1">
      <c r="B51" s="117"/>
      <c r="C51" s="121"/>
      <c r="D51" s="119"/>
      <c r="E51" s="119" t="s">
        <v>27</v>
      </c>
      <c r="F51" s="122" t="s">
        <v>8</v>
      </c>
      <c r="G51" s="103">
        <v>1986.13</v>
      </c>
      <c r="H51" s="104"/>
      <c r="I51" s="103">
        <f>1461.65+0.95+110+1169.26+93.03+44.31</f>
        <v>2879.2000000000003</v>
      </c>
      <c r="J51" s="86">
        <f t="shared" si="3"/>
        <v>144.96533459541925</v>
      </c>
      <c r="K51" s="86">
        <v>0</v>
      </c>
      <c r="L51" s="56"/>
      <c r="M51" s="53"/>
      <c r="N51" s="54"/>
      <c r="O51" s="50"/>
    </row>
    <row r="52" spans="2:15" s="10" customFormat="1" ht="24.9" customHeight="1">
      <c r="B52" s="117"/>
      <c r="C52" s="121"/>
      <c r="D52" s="119"/>
      <c r="E52" s="119">
        <v>3222</v>
      </c>
      <c r="F52" s="122" t="s">
        <v>48</v>
      </c>
      <c r="G52" s="103">
        <v>0</v>
      </c>
      <c r="H52" s="104"/>
      <c r="I52" s="103">
        <f>9486.93</f>
        <v>9486.93</v>
      </c>
      <c r="J52" s="86">
        <v>0</v>
      </c>
      <c r="K52" s="86">
        <v>0</v>
      </c>
      <c r="L52" s="56"/>
      <c r="M52" s="53"/>
      <c r="N52" s="54"/>
      <c r="O52" s="50"/>
    </row>
    <row r="53" spans="2:15" s="10" customFormat="1" ht="24.9" customHeight="1">
      <c r="B53" s="117"/>
      <c r="C53" s="121"/>
      <c r="D53" s="119"/>
      <c r="E53" s="119" t="s">
        <v>28</v>
      </c>
      <c r="F53" s="122" t="s">
        <v>29</v>
      </c>
      <c r="G53" s="103">
        <v>6423.01</v>
      </c>
      <c r="H53" s="104"/>
      <c r="I53" s="103">
        <f>5993.02</f>
        <v>5993.02</v>
      </c>
      <c r="J53" s="86">
        <f t="shared" si="3"/>
        <v>93.305475158842981</v>
      </c>
      <c r="K53" s="86">
        <v>0</v>
      </c>
      <c r="L53" s="52"/>
      <c r="M53" s="53"/>
      <c r="N53" s="54"/>
      <c r="O53" s="50"/>
    </row>
    <row r="54" spans="2:15" s="10" customFormat="1" ht="24.9" customHeight="1">
      <c r="B54" s="117"/>
      <c r="C54" s="121"/>
      <c r="D54" s="119"/>
      <c r="E54" s="119" t="s">
        <v>30</v>
      </c>
      <c r="F54" s="122" t="s">
        <v>31</v>
      </c>
      <c r="G54" s="103">
        <v>204.76</v>
      </c>
      <c r="H54" s="104"/>
      <c r="I54" s="103">
        <f>138.79+176.25</f>
        <v>315.03999999999996</v>
      </c>
      <c r="J54" s="86">
        <f t="shared" si="3"/>
        <v>153.85817542488766</v>
      </c>
      <c r="K54" s="86">
        <v>0</v>
      </c>
      <c r="L54" s="56"/>
      <c r="M54" s="53"/>
      <c r="N54" s="54"/>
      <c r="O54" s="50"/>
    </row>
    <row r="55" spans="2:15" s="11" customFormat="1" ht="24.9" customHeight="1">
      <c r="B55" s="117"/>
      <c r="C55" s="121"/>
      <c r="D55" s="119"/>
      <c r="E55" s="119">
        <v>3225</v>
      </c>
      <c r="F55" s="122" t="s">
        <v>49</v>
      </c>
      <c r="G55" s="103">
        <v>145.72999999999999</v>
      </c>
      <c r="H55" s="104"/>
      <c r="I55" s="103">
        <f>2303+76+1.04</f>
        <v>2380.04</v>
      </c>
      <c r="J55" s="86">
        <f t="shared" si="3"/>
        <v>1633.1846565566459</v>
      </c>
      <c r="K55" s="86">
        <v>0</v>
      </c>
      <c r="L55" s="56"/>
      <c r="M55" s="53"/>
      <c r="N55" s="54"/>
      <c r="O55" s="55"/>
    </row>
    <row r="56" spans="2:15" s="10" customFormat="1" ht="24.9" customHeight="1">
      <c r="B56" s="117"/>
      <c r="C56" s="121"/>
      <c r="D56" s="119">
        <v>323</v>
      </c>
      <c r="E56" s="119"/>
      <c r="F56" s="122" t="s">
        <v>9</v>
      </c>
      <c r="G56" s="103">
        <f>SUM(G57:G65)</f>
        <v>35277.960000000006</v>
      </c>
      <c r="H56" s="104">
        <f>33602+225+331</f>
        <v>34158</v>
      </c>
      <c r="I56" s="103">
        <f>SUM(I57:I65)</f>
        <v>33544.74</v>
      </c>
      <c r="J56" s="86">
        <f t="shared" si="3"/>
        <v>95.086960810659093</v>
      </c>
      <c r="K56" s="86">
        <f>I56/H56*100</f>
        <v>98.204637273845066</v>
      </c>
      <c r="L56" s="56"/>
      <c r="M56" s="53"/>
      <c r="N56" s="54"/>
      <c r="O56" s="50"/>
    </row>
    <row r="57" spans="2:15" s="10" customFormat="1" ht="24.9" customHeight="1">
      <c r="B57" s="117"/>
      <c r="C57" s="121"/>
      <c r="D57" s="119"/>
      <c r="E57" s="119" t="s">
        <v>32</v>
      </c>
      <c r="F57" s="122" t="s">
        <v>33</v>
      </c>
      <c r="G57" s="103">
        <v>29430.59</v>
      </c>
      <c r="H57" s="104"/>
      <c r="I57" s="123">
        <f>685.99+27592.35</f>
        <v>28278.34</v>
      </c>
      <c r="J57" s="86">
        <f t="shared" si="3"/>
        <v>96.084855927115285</v>
      </c>
      <c r="K57" s="86">
        <v>0</v>
      </c>
      <c r="L57" s="56"/>
      <c r="M57" s="53"/>
      <c r="N57" s="54"/>
      <c r="O57" s="50"/>
    </row>
    <row r="58" spans="2:15" s="10" customFormat="1" ht="24.9" customHeight="1">
      <c r="B58" s="117"/>
      <c r="C58" s="121"/>
      <c r="D58" s="119"/>
      <c r="E58" s="119" t="s">
        <v>34</v>
      </c>
      <c r="F58" s="122" t="s">
        <v>35</v>
      </c>
      <c r="G58" s="103">
        <v>1398.96</v>
      </c>
      <c r="H58" s="104"/>
      <c r="I58" s="123">
        <f>414.85+1245.21</f>
        <v>1660.06</v>
      </c>
      <c r="J58" s="86">
        <f t="shared" si="3"/>
        <v>118.66386458512036</v>
      </c>
      <c r="K58" s="86">
        <v>0</v>
      </c>
      <c r="L58" s="56"/>
      <c r="M58" s="53"/>
      <c r="N58" s="54"/>
      <c r="O58" s="50"/>
    </row>
    <row r="59" spans="2:15" s="10" customFormat="1" ht="24.9" customHeight="1">
      <c r="B59" s="117"/>
      <c r="C59" s="121"/>
      <c r="D59" s="119"/>
      <c r="E59" s="119">
        <v>3233</v>
      </c>
      <c r="F59" s="122" t="s">
        <v>62</v>
      </c>
      <c r="G59" s="103">
        <v>576.95000000000005</v>
      </c>
      <c r="H59" s="104"/>
      <c r="I59" s="123">
        <v>0</v>
      </c>
      <c r="J59" s="86">
        <f t="shared" si="3"/>
        <v>0</v>
      </c>
      <c r="K59" s="86">
        <v>0</v>
      </c>
      <c r="L59" s="56"/>
      <c r="M59" s="53"/>
      <c r="N59" s="54"/>
      <c r="O59" s="50"/>
    </row>
    <row r="60" spans="2:15" s="10" customFormat="1" ht="24.9" customHeight="1">
      <c r="B60" s="117"/>
      <c r="C60" s="121"/>
      <c r="D60" s="119"/>
      <c r="E60" s="119" t="s">
        <v>36</v>
      </c>
      <c r="F60" s="122" t="s">
        <v>37</v>
      </c>
      <c r="G60" s="103">
        <v>1347.06</v>
      </c>
      <c r="H60" s="104"/>
      <c r="I60" s="123">
        <f>1205.82</f>
        <v>1205.82</v>
      </c>
      <c r="J60" s="86">
        <f t="shared" si="3"/>
        <v>89.51494365507105</v>
      </c>
      <c r="K60" s="86">
        <v>0</v>
      </c>
      <c r="L60" s="56"/>
      <c r="M60" s="53"/>
      <c r="N60" s="54"/>
      <c r="O60" s="50"/>
    </row>
    <row r="61" spans="2:15" s="11" customFormat="1" ht="24.9" customHeight="1">
      <c r="B61" s="117"/>
      <c r="C61" s="121"/>
      <c r="D61" s="119"/>
      <c r="E61" s="119">
        <v>3235</v>
      </c>
      <c r="F61" s="122" t="s">
        <v>56</v>
      </c>
      <c r="G61" s="103">
        <v>320.7</v>
      </c>
      <c r="H61" s="104"/>
      <c r="I61" s="123">
        <v>278.23</v>
      </c>
      <c r="J61" s="86">
        <f t="shared" si="3"/>
        <v>86.7570938571874</v>
      </c>
      <c r="K61" s="86">
        <v>0</v>
      </c>
      <c r="L61" s="56"/>
      <c r="M61" s="53"/>
      <c r="N61" s="54"/>
      <c r="O61" s="55"/>
    </row>
    <row r="62" spans="2:15" s="10" customFormat="1" ht="24.9" customHeight="1">
      <c r="B62" s="117"/>
      <c r="C62" s="121"/>
      <c r="D62" s="119"/>
      <c r="E62" s="119">
        <v>3236</v>
      </c>
      <c r="F62" s="122" t="s">
        <v>50</v>
      </c>
      <c r="G62" s="103">
        <v>172.54</v>
      </c>
      <c r="H62" s="104"/>
      <c r="I62" s="123">
        <v>0</v>
      </c>
      <c r="J62" s="86">
        <f t="shared" si="3"/>
        <v>0</v>
      </c>
      <c r="K62" s="86">
        <v>0</v>
      </c>
      <c r="L62" s="56"/>
      <c r="M62" s="53"/>
      <c r="N62" s="54"/>
      <c r="O62" s="50"/>
    </row>
    <row r="63" spans="2:15" s="10" customFormat="1" ht="24.9" customHeight="1">
      <c r="B63" s="117"/>
      <c r="C63" s="121"/>
      <c r="D63" s="119"/>
      <c r="E63" s="119">
        <v>3237</v>
      </c>
      <c r="F63" s="122" t="s">
        <v>51</v>
      </c>
      <c r="G63" s="103">
        <v>567.47</v>
      </c>
      <c r="H63" s="104"/>
      <c r="I63" s="123">
        <f>134.74+418.08</f>
        <v>552.81999999999994</v>
      </c>
      <c r="J63" s="86">
        <f t="shared" si="3"/>
        <v>97.41836572858476</v>
      </c>
      <c r="K63" s="86">
        <v>0</v>
      </c>
      <c r="L63" s="52"/>
      <c r="M63" s="53"/>
      <c r="N63" s="54"/>
      <c r="O63" s="50"/>
    </row>
    <row r="64" spans="2:15" s="10" customFormat="1" ht="24.9" customHeight="1">
      <c r="B64" s="117"/>
      <c r="C64" s="121"/>
      <c r="D64" s="119"/>
      <c r="E64" s="119" t="s">
        <v>38</v>
      </c>
      <c r="F64" s="122" t="s">
        <v>39</v>
      </c>
      <c r="G64" s="103">
        <v>1423.87</v>
      </c>
      <c r="H64" s="104"/>
      <c r="I64" s="123">
        <f>1296.47+225</f>
        <v>1521.47</v>
      </c>
      <c r="J64" s="86">
        <f t="shared" si="3"/>
        <v>106.85455835153491</v>
      </c>
      <c r="K64" s="86">
        <v>0</v>
      </c>
      <c r="L64" s="56"/>
      <c r="M64" s="53"/>
      <c r="N64" s="54"/>
      <c r="O64" s="50"/>
    </row>
    <row r="65" spans="2:15" s="10" customFormat="1" ht="24.9" customHeight="1">
      <c r="B65" s="117"/>
      <c r="C65" s="121"/>
      <c r="D65" s="119"/>
      <c r="E65" s="119" t="s">
        <v>40</v>
      </c>
      <c r="F65" s="122" t="s">
        <v>10</v>
      </c>
      <c r="G65" s="103">
        <v>39.82</v>
      </c>
      <c r="H65" s="104"/>
      <c r="I65" s="123">
        <f>48</f>
        <v>48</v>
      </c>
      <c r="J65" s="86">
        <f t="shared" si="3"/>
        <v>120.54244098442994</v>
      </c>
      <c r="K65" s="86">
        <v>0</v>
      </c>
      <c r="L65" s="56"/>
      <c r="M65" s="53"/>
      <c r="N65" s="54"/>
      <c r="O65" s="50"/>
    </row>
    <row r="66" spans="2:15" s="10" customFormat="1" ht="24.9" customHeight="1">
      <c r="B66" s="117"/>
      <c r="C66" s="121"/>
      <c r="D66" s="119">
        <v>329</v>
      </c>
      <c r="E66" s="119"/>
      <c r="F66" s="122" t="s">
        <v>11</v>
      </c>
      <c r="G66" s="103">
        <f>SUM(G67:G69)</f>
        <v>1808.03</v>
      </c>
      <c r="H66" s="104">
        <f>228+1700+194</f>
        <v>2122</v>
      </c>
      <c r="I66" s="103">
        <f>SUM(I67:I69)</f>
        <v>2059.7799999999997</v>
      </c>
      <c r="J66" s="86">
        <f t="shared" si="3"/>
        <v>113.92399462398299</v>
      </c>
      <c r="K66" s="86">
        <f>I66/H66*100</f>
        <v>97.067860508953814</v>
      </c>
      <c r="L66" s="56"/>
      <c r="M66" s="53"/>
      <c r="N66" s="54"/>
      <c r="O66" s="50"/>
    </row>
    <row r="67" spans="2:15" s="11" customFormat="1" ht="24.9" customHeight="1">
      <c r="B67" s="117"/>
      <c r="C67" s="121"/>
      <c r="D67" s="119"/>
      <c r="E67" s="119">
        <v>3294</v>
      </c>
      <c r="F67" s="122" t="s">
        <v>52</v>
      </c>
      <c r="G67" s="103">
        <v>159.27000000000001</v>
      </c>
      <c r="H67" s="104"/>
      <c r="I67" s="103">
        <f>163.09</f>
        <v>163.09</v>
      </c>
      <c r="J67" s="86">
        <f t="shared" si="3"/>
        <v>102.39844289571167</v>
      </c>
      <c r="K67" s="86">
        <v>0</v>
      </c>
      <c r="L67" s="52"/>
      <c r="M67" s="53"/>
      <c r="N67" s="54"/>
      <c r="O67" s="55"/>
    </row>
    <row r="68" spans="2:15" s="10" customFormat="1" ht="24.9" customHeight="1">
      <c r="B68" s="117"/>
      <c r="C68" s="121"/>
      <c r="D68" s="119"/>
      <c r="E68" s="119">
        <v>3295</v>
      </c>
      <c r="F68" s="122" t="s">
        <v>41</v>
      </c>
      <c r="G68" s="103">
        <v>1481.52</v>
      </c>
      <c r="H68" s="104"/>
      <c r="I68" s="103">
        <v>1664.43</v>
      </c>
      <c r="J68" s="86">
        <f t="shared" si="3"/>
        <v>112.34610400129597</v>
      </c>
      <c r="K68" s="86">
        <v>0</v>
      </c>
      <c r="L68" s="52"/>
      <c r="M68" s="53"/>
      <c r="N68" s="54"/>
      <c r="O68" s="50"/>
    </row>
    <row r="69" spans="2:15" s="11" customFormat="1" ht="24.9" customHeight="1">
      <c r="B69" s="117"/>
      <c r="C69" s="121"/>
      <c r="D69" s="119"/>
      <c r="E69" s="119" t="s">
        <v>42</v>
      </c>
      <c r="F69" s="122" t="s">
        <v>11</v>
      </c>
      <c r="G69" s="103">
        <v>167.24</v>
      </c>
      <c r="H69" s="104"/>
      <c r="I69" s="103">
        <f>64.26+168</f>
        <v>232.26</v>
      </c>
      <c r="J69" s="86">
        <f t="shared" si="3"/>
        <v>138.87825878976321</v>
      </c>
      <c r="K69" s="86">
        <v>0</v>
      </c>
      <c r="L69" s="56"/>
      <c r="M69" s="53"/>
      <c r="N69" s="54"/>
      <c r="O69" s="55"/>
    </row>
    <row r="70" spans="2:15" s="10" customFormat="1" ht="40.5" customHeight="1">
      <c r="B70" s="117"/>
      <c r="C70" s="118">
        <v>34</v>
      </c>
      <c r="D70" s="94"/>
      <c r="E70" s="119"/>
      <c r="F70" s="122" t="s">
        <v>12</v>
      </c>
      <c r="G70" s="103">
        <f>SUM(G71)</f>
        <v>294.52</v>
      </c>
      <c r="H70" s="104">
        <v>270</v>
      </c>
      <c r="I70" s="103">
        <f>SUM(I71)</f>
        <v>270</v>
      </c>
      <c r="J70" s="86">
        <f t="shared" si="3"/>
        <v>91.674589162026351</v>
      </c>
      <c r="K70" s="86">
        <f>I70/H70*100</f>
        <v>100</v>
      </c>
      <c r="L70" s="52"/>
      <c r="M70" s="53"/>
      <c r="N70" s="54"/>
      <c r="O70" s="50"/>
    </row>
    <row r="71" spans="2:15" s="10" customFormat="1" ht="33.75" customHeight="1">
      <c r="B71" s="117"/>
      <c r="C71" s="121"/>
      <c r="D71" s="119">
        <v>343</v>
      </c>
      <c r="E71" s="119"/>
      <c r="F71" s="122" t="s">
        <v>13</v>
      </c>
      <c r="G71" s="103">
        <f>SUM(G72)</f>
        <v>294.52</v>
      </c>
      <c r="H71" s="104">
        <v>270</v>
      </c>
      <c r="I71" s="103">
        <f>I72</f>
        <v>270</v>
      </c>
      <c r="J71" s="86">
        <f t="shared" si="3"/>
        <v>91.674589162026351</v>
      </c>
      <c r="K71" s="86">
        <f>I71/H71*100</f>
        <v>100</v>
      </c>
      <c r="L71" s="52"/>
      <c r="M71" s="53"/>
      <c r="N71" s="54"/>
      <c r="O71" s="50"/>
    </row>
    <row r="72" spans="2:15" s="10" customFormat="1" ht="24.9" customHeight="1">
      <c r="B72" s="117"/>
      <c r="C72" s="121"/>
      <c r="D72" s="119"/>
      <c r="E72" s="119" t="s">
        <v>43</v>
      </c>
      <c r="F72" s="122" t="s">
        <v>44</v>
      </c>
      <c r="G72" s="103">
        <v>294.52</v>
      </c>
      <c r="H72" s="104"/>
      <c r="I72" s="103">
        <v>270</v>
      </c>
      <c r="J72" s="86">
        <f t="shared" si="3"/>
        <v>91.674589162026351</v>
      </c>
      <c r="K72" s="86">
        <v>0</v>
      </c>
      <c r="L72" s="56"/>
      <c r="M72" s="53"/>
      <c r="N72" s="54"/>
      <c r="O72" s="50"/>
    </row>
    <row r="73" spans="2:15" s="10" customFormat="1" ht="24.9" customHeight="1">
      <c r="B73" s="117"/>
      <c r="C73" s="118">
        <v>37</v>
      </c>
      <c r="D73" s="119"/>
      <c r="E73" s="119"/>
      <c r="F73" s="122" t="s">
        <v>151</v>
      </c>
      <c r="G73" s="103">
        <f>G74</f>
        <v>5138.71</v>
      </c>
      <c r="H73" s="103">
        <f>H74</f>
        <v>5626.27</v>
      </c>
      <c r="I73" s="103">
        <f>I74</f>
        <v>5625.76</v>
      </c>
      <c r="J73" s="86">
        <f t="shared" si="3"/>
        <v>109.47805966867172</v>
      </c>
      <c r="K73" s="86">
        <f>I73/H73*100</f>
        <v>99.990935379923101</v>
      </c>
      <c r="L73" s="56"/>
      <c r="M73" s="53"/>
      <c r="N73" s="54"/>
      <c r="O73" s="50"/>
    </row>
    <row r="74" spans="2:15" s="10" customFormat="1" ht="24.9" customHeight="1">
      <c r="B74" s="117"/>
      <c r="C74" s="121"/>
      <c r="D74" s="119">
        <v>372</v>
      </c>
      <c r="E74" s="119"/>
      <c r="F74" s="122" t="s">
        <v>152</v>
      </c>
      <c r="G74" s="103">
        <f>G75</f>
        <v>5138.71</v>
      </c>
      <c r="H74" s="103">
        <f>3245.27+2381</f>
        <v>5626.27</v>
      </c>
      <c r="I74" s="103">
        <f>I75</f>
        <v>5625.76</v>
      </c>
      <c r="J74" s="86">
        <f t="shared" si="3"/>
        <v>109.47805966867172</v>
      </c>
      <c r="K74" s="86">
        <f>I74/H74*100</f>
        <v>99.990935379923101</v>
      </c>
      <c r="L74" s="57"/>
      <c r="M74" s="53"/>
      <c r="N74" s="54"/>
      <c r="O74" s="50"/>
    </row>
    <row r="75" spans="2:15" s="10" customFormat="1" ht="24.9" customHeight="1">
      <c r="B75" s="117"/>
      <c r="C75" s="121"/>
      <c r="D75" s="119"/>
      <c r="E75" s="119">
        <v>3722</v>
      </c>
      <c r="F75" s="122" t="s">
        <v>55</v>
      </c>
      <c r="G75" s="103">
        <v>5138.71</v>
      </c>
      <c r="H75" s="104"/>
      <c r="I75" s="103">
        <f>509.21+3245.27+1871.28</f>
        <v>5625.76</v>
      </c>
      <c r="J75" s="86">
        <f t="shared" si="3"/>
        <v>109.47805966867172</v>
      </c>
      <c r="K75" s="86">
        <v>0</v>
      </c>
      <c r="L75" s="57"/>
      <c r="M75" s="53"/>
      <c r="N75" s="54"/>
      <c r="O75" s="50"/>
    </row>
    <row r="76" spans="2:15" s="11" customFormat="1" ht="24.9" customHeight="1">
      <c r="B76" s="117"/>
      <c r="C76" s="124">
        <v>38</v>
      </c>
      <c r="D76" s="119"/>
      <c r="E76" s="119"/>
      <c r="F76" s="122" t="s">
        <v>153</v>
      </c>
      <c r="G76" s="103">
        <v>0</v>
      </c>
      <c r="H76" s="104">
        <v>94</v>
      </c>
      <c r="I76" s="103">
        <f>I77</f>
        <v>93.68</v>
      </c>
      <c r="J76" s="86">
        <v>0</v>
      </c>
      <c r="K76" s="86">
        <f>I76/H76*100</f>
        <v>99.659574468085111</v>
      </c>
      <c r="L76" s="52"/>
      <c r="M76" s="53"/>
      <c r="N76" s="54"/>
      <c r="O76" s="55"/>
    </row>
    <row r="77" spans="2:15" s="11" customFormat="1" ht="24.9" customHeight="1">
      <c r="B77" s="117"/>
      <c r="C77" s="121"/>
      <c r="D77" s="125">
        <v>381</v>
      </c>
      <c r="E77" s="125"/>
      <c r="F77" s="126" t="s">
        <v>63</v>
      </c>
      <c r="G77" s="127">
        <v>0</v>
      </c>
      <c r="H77" s="128">
        <v>94</v>
      </c>
      <c r="I77" s="127">
        <v>93.68</v>
      </c>
      <c r="J77" s="86">
        <v>0</v>
      </c>
      <c r="K77" s="86">
        <f>I77/H77*100</f>
        <v>99.659574468085111</v>
      </c>
      <c r="L77" s="52"/>
      <c r="M77" s="53"/>
      <c r="N77" s="54"/>
      <c r="O77" s="55"/>
    </row>
    <row r="78" spans="2:15" s="10" customFormat="1" ht="24.9" customHeight="1">
      <c r="B78" s="117"/>
      <c r="C78" s="94"/>
      <c r="D78" s="125"/>
      <c r="E78" s="125">
        <v>3812</v>
      </c>
      <c r="F78" s="126" t="s">
        <v>154</v>
      </c>
      <c r="G78" s="127">
        <v>0</v>
      </c>
      <c r="H78" s="128"/>
      <c r="I78" s="127">
        <v>93.68</v>
      </c>
      <c r="J78" s="86">
        <v>0</v>
      </c>
      <c r="K78" s="86">
        <v>0</v>
      </c>
      <c r="L78" s="52"/>
      <c r="M78" s="53"/>
      <c r="N78" s="54"/>
      <c r="O78" s="50"/>
    </row>
    <row r="79" spans="2:15" s="10" customFormat="1" ht="24.9" customHeight="1">
      <c r="B79" s="129">
        <v>4</v>
      </c>
      <c r="C79" s="130"/>
      <c r="D79" s="131"/>
      <c r="E79" s="131"/>
      <c r="F79" s="120" t="s">
        <v>155</v>
      </c>
      <c r="G79" s="103">
        <f>G80+G85</f>
        <v>79184.450000000012</v>
      </c>
      <c r="H79" s="104">
        <f>H80+H85</f>
        <v>51945</v>
      </c>
      <c r="I79" s="103">
        <f>I80+I85</f>
        <v>49935.09</v>
      </c>
      <c r="J79" s="86">
        <f t="shared" si="3"/>
        <v>63.061737500228887</v>
      </c>
      <c r="K79" s="86">
        <f>I79/H79*100</f>
        <v>96.130695928385791</v>
      </c>
      <c r="L79" s="56"/>
      <c r="M79" s="53"/>
      <c r="N79" s="54"/>
      <c r="O79" s="50"/>
    </row>
    <row r="80" spans="2:15" s="10" customFormat="1" ht="24.9" customHeight="1">
      <c r="B80" s="117"/>
      <c r="C80" s="119">
        <v>42</v>
      </c>
      <c r="D80" s="119"/>
      <c r="E80" s="119"/>
      <c r="F80" s="122" t="s">
        <v>15</v>
      </c>
      <c r="G80" s="103">
        <f>G81+G83</f>
        <v>1549.24</v>
      </c>
      <c r="H80" s="104">
        <f>H81+H83</f>
        <v>2450</v>
      </c>
      <c r="I80" s="103">
        <f>I81+I83</f>
        <v>440.09</v>
      </c>
      <c r="J80" s="86">
        <f t="shared" si="3"/>
        <v>28.406831736851618</v>
      </c>
      <c r="K80" s="86">
        <f>I80/H80*100</f>
        <v>17.962857142857143</v>
      </c>
      <c r="L80" s="52"/>
      <c r="M80" s="53"/>
      <c r="N80" s="54"/>
      <c r="O80" s="50"/>
    </row>
    <row r="81" spans="2:16" s="11" customFormat="1" ht="24.9" customHeight="1">
      <c r="B81" s="117"/>
      <c r="C81" s="94"/>
      <c r="D81" s="119">
        <v>422</v>
      </c>
      <c r="E81" s="119"/>
      <c r="F81" s="122" t="s">
        <v>14</v>
      </c>
      <c r="G81" s="103">
        <f>SUM(G82:G82)</f>
        <v>690.16</v>
      </c>
      <c r="H81" s="104">
        <v>1991</v>
      </c>
      <c r="I81" s="103">
        <f>SUM(I82:I82)</f>
        <v>0</v>
      </c>
      <c r="J81" s="86">
        <f t="shared" si="3"/>
        <v>0</v>
      </c>
      <c r="K81" s="86">
        <f>I81/H81*100</f>
        <v>0</v>
      </c>
      <c r="L81" s="56"/>
      <c r="M81" s="53"/>
      <c r="N81" s="54"/>
      <c r="O81" s="55"/>
    </row>
    <row r="82" spans="2:16" s="11" customFormat="1" ht="24.9" customHeight="1">
      <c r="B82" s="117"/>
      <c r="C82" s="94"/>
      <c r="D82" s="119"/>
      <c r="E82" s="119">
        <v>4223</v>
      </c>
      <c r="F82" s="122" t="s">
        <v>59</v>
      </c>
      <c r="G82" s="103">
        <v>690.16</v>
      </c>
      <c r="H82" s="104"/>
      <c r="I82" s="103">
        <v>0</v>
      </c>
      <c r="J82" s="86">
        <f t="shared" si="3"/>
        <v>0</v>
      </c>
      <c r="K82" s="86">
        <v>0</v>
      </c>
      <c r="L82" s="52"/>
      <c r="M82" s="53"/>
      <c r="N82" s="54"/>
      <c r="O82" s="55"/>
    </row>
    <row r="83" spans="2:16" s="10" customFormat="1" ht="24.9" customHeight="1">
      <c r="B83" s="117"/>
      <c r="C83" s="94"/>
      <c r="D83" s="119">
        <v>424</v>
      </c>
      <c r="E83" s="119"/>
      <c r="F83" s="122" t="s">
        <v>53</v>
      </c>
      <c r="G83" s="103">
        <f>G84</f>
        <v>859.08</v>
      </c>
      <c r="H83" s="104">
        <v>459</v>
      </c>
      <c r="I83" s="103">
        <f>I84</f>
        <v>440.09</v>
      </c>
      <c r="J83" s="86">
        <f t="shared" si="3"/>
        <v>51.22805792242864</v>
      </c>
      <c r="K83" s="86">
        <f>I83/H83*100</f>
        <v>95.880174291938985</v>
      </c>
      <c r="L83" s="56"/>
      <c r="M83" s="53"/>
      <c r="N83" s="54"/>
      <c r="O83" s="50"/>
    </row>
    <row r="84" spans="2:16" s="10" customFormat="1" ht="24.9" customHeight="1">
      <c r="B84" s="130"/>
      <c r="C84" s="94"/>
      <c r="D84" s="119"/>
      <c r="E84" s="119">
        <v>4241</v>
      </c>
      <c r="F84" s="122" t="s">
        <v>54</v>
      </c>
      <c r="G84" s="103">
        <v>859.08</v>
      </c>
      <c r="H84" s="104"/>
      <c r="I84" s="103">
        <f>177+263.09</f>
        <v>440.09</v>
      </c>
      <c r="J84" s="86">
        <f t="shared" si="3"/>
        <v>51.22805792242864</v>
      </c>
      <c r="K84" s="86">
        <v>0</v>
      </c>
      <c r="L84" s="12"/>
      <c r="M84" s="53"/>
      <c r="N84" s="54"/>
      <c r="O84" s="50"/>
    </row>
    <row r="85" spans="2:16" s="10" customFormat="1" ht="20.399999999999999">
      <c r="B85" s="130"/>
      <c r="C85" s="119">
        <v>45</v>
      </c>
      <c r="D85" s="119"/>
      <c r="E85" s="119"/>
      <c r="F85" s="122" t="s">
        <v>60</v>
      </c>
      <c r="G85" s="103">
        <f>G86</f>
        <v>77635.210000000006</v>
      </c>
      <c r="H85" s="104">
        <f>H86</f>
        <v>49495</v>
      </c>
      <c r="I85" s="103">
        <f>I86</f>
        <v>49495</v>
      </c>
      <c r="J85" s="86">
        <f t="shared" si="3"/>
        <v>63.753289261405996</v>
      </c>
      <c r="K85" s="86">
        <f>I85/H85*100</f>
        <v>100</v>
      </c>
      <c r="L85" s="7"/>
      <c r="M85" s="53"/>
      <c r="N85" s="54"/>
      <c r="O85" s="50"/>
    </row>
    <row r="86" spans="2:16" s="10" customFormat="1" ht="14.4">
      <c r="B86" s="132"/>
      <c r="C86" s="94"/>
      <c r="D86" s="119">
        <v>451</v>
      </c>
      <c r="E86" s="119"/>
      <c r="F86" s="122" t="s">
        <v>61</v>
      </c>
      <c r="G86" s="103">
        <f>G87</f>
        <v>77635.210000000006</v>
      </c>
      <c r="H86" s="104">
        <v>49495</v>
      </c>
      <c r="I86" s="103">
        <f>I87</f>
        <v>49495</v>
      </c>
      <c r="J86" s="86">
        <f t="shared" si="3"/>
        <v>63.753289261405996</v>
      </c>
      <c r="K86" s="86">
        <f>I86/H86*100</f>
        <v>100</v>
      </c>
      <c r="L86" s="6"/>
      <c r="M86" s="53"/>
      <c r="N86" s="54"/>
      <c r="O86" s="50"/>
    </row>
    <row r="87" spans="2:16" s="10" customFormat="1" ht="14.4">
      <c r="B87" s="132"/>
      <c r="C87" s="94"/>
      <c r="D87" s="119"/>
      <c r="E87" s="119">
        <v>4511</v>
      </c>
      <c r="F87" s="122" t="s">
        <v>61</v>
      </c>
      <c r="G87" s="103">
        <v>77635.210000000006</v>
      </c>
      <c r="H87" s="104"/>
      <c r="I87" s="103">
        <f>45690+2650+1155</f>
        <v>49495</v>
      </c>
      <c r="J87" s="86">
        <f t="shared" si="3"/>
        <v>63.753289261405996</v>
      </c>
      <c r="K87" s="86">
        <v>0</v>
      </c>
      <c r="L87" s="6"/>
      <c r="M87" s="53"/>
      <c r="N87" s="54"/>
      <c r="O87" s="50"/>
    </row>
    <row r="88" spans="2:16" s="10" customFormat="1" ht="20.399999999999999">
      <c r="C88" s="7"/>
      <c r="D88" s="7"/>
      <c r="E88" s="7"/>
      <c r="F88" s="7"/>
      <c r="G88" s="7"/>
      <c r="H88" s="7"/>
      <c r="I88" s="7"/>
      <c r="J88" s="7"/>
      <c r="K88" s="7"/>
      <c r="L88" s="6"/>
      <c r="M88" s="53"/>
      <c r="N88" s="54"/>
      <c r="O88" s="50"/>
    </row>
    <row r="89" spans="2:16" s="10" customFormat="1" ht="14.4">
      <c r="C89" s="1"/>
      <c r="D89" s="1"/>
      <c r="E89" s="1"/>
      <c r="F89" s="1"/>
      <c r="G89" s="1"/>
      <c r="H89" s="1"/>
      <c r="I89" s="1"/>
      <c r="J89" s="6"/>
      <c r="K89" s="6"/>
      <c r="L89" s="6"/>
      <c r="M89" s="53"/>
      <c r="N89" s="54"/>
      <c r="O89" s="50"/>
    </row>
    <row r="90" spans="2:16" s="10" customFormat="1" ht="14.4">
      <c r="B90" s="258" t="s">
        <v>65</v>
      </c>
      <c r="C90" s="250"/>
      <c r="D90" s="250"/>
      <c r="E90" s="250"/>
      <c r="F90" s="251"/>
      <c r="G90" s="234" t="s">
        <v>136</v>
      </c>
      <c r="H90" s="234" t="s">
        <v>185</v>
      </c>
      <c r="I90" s="234" t="s">
        <v>135</v>
      </c>
      <c r="J90" s="233" t="s">
        <v>66</v>
      </c>
      <c r="K90" s="233" t="s">
        <v>66</v>
      </c>
      <c r="L90" s="6"/>
      <c r="M90" s="53"/>
      <c r="N90" s="54"/>
      <c r="O90" s="50"/>
    </row>
    <row r="91" spans="2:16" s="13" customFormat="1" ht="18">
      <c r="B91" s="252"/>
      <c r="C91" s="253"/>
      <c r="D91" s="253"/>
      <c r="E91" s="253"/>
      <c r="F91" s="254"/>
      <c r="G91" s="235"/>
      <c r="H91" s="235"/>
      <c r="I91" s="235"/>
      <c r="J91" s="233"/>
      <c r="K91" s="233"/>
      <c r="L91" s="6"/>
      <c r="M91" s="53"/>
      <c r="N91" s="54"/>
      <c r="O91" s="58"/>
    </row>
    <row r="92" spans="2:16" s="9" customFormat="1">
      <c r="B92" s="173"/>
      <c r="C92" s="238">
        <v>1</v>
      </c>
      <c r="D92" s="238"/>
      <c r="E92" s="238"/>
      <c r="F92" s="238"/>
      <c r="G92" s="146">
        <v>2</v>
      </c>
      <c r="H92" s="146">
        <v>3</v>
      </c>
      <c r="I92" s="147">
        <v>4</v>
      </c>
      <c r="J92" s="174">
        <v>5</v>
      </c>
      <c r="K92" s="174">
        <v>6</v>
      </c>
      <c r="L92" s="6"/>
      <c r="M92" s="59"/>
      <c r="N92" s="59"/>
      <c r="O92" s="59"/>
      <c r="P92" s="59"/>
    </row>
    <row r="93" spans="2:16" s="9" customFormat="1" ht="20.399999999999999">
      <c r="B93" s="117">
        <v>9</v>
      </c>
      <c r="C93" s="94"/>
      <c r="D93" s="101"/>
      <c r="E93" s="101"/>
      <c r="F93" s="175" t="s">
        <v>189</v>
      </c>
      <c r="G93" s="103">
        <f>G94</f>
        <v>3.36</v>
      </c>
      <c r="H93" s="104">
        <f>H94</f>
        <v>331</v>
      </c>
      <c r="I93" s="103">
        <f>I94</f>
        <v>331.21</v>
      </c>
      <c r="J93" s="86">
        <f>I93/G93*100</f>
        <v>9857.4404761904752</v>
      </c>
      <c r="K93" s="86">
        <f>I93/H93*100</f>
        <v>100.06344410876132</v>
      </c>
      <c r="L93" s="6"/>
      <c r="M93" s="7"/>
    </row>
    <row r="94" spans="2:16">
      <c r="B94" s="94"/>
      <c r="C94" s="94">
        <v>92</v>
      </c>
      <c r="D94" s="101"/>
      <c r="E94" s="101"/>
      <c r="F94" s="102" t="s">
        <v>188</v>
      </c>
      <c r="G94" s="103">
        <v>3.36</v>
      </c>
      <c r="H94" s="104">
        <f>H95</f>
        <v>331</v>
      </c>
      <c r="I94" s="103">
        <f>I95</f>
        <v>331.21</v>
      </c>
      <c r="J94" s="86">
        <f t="shared" ref="J94:J96" si="4">I94/G94*100</f>
        <v>9857.4404761904752</v>
      </c>
      <c r="K94" s="86">
        <f t="shared" ref="K94:K96" si="5">I94/H94*100</f>
        <v>100.06344410876132</v>
      </c>
    </row>
    <row r="95" spans="2:16">
      <c r="B95" s="94"/>
      <c r="C95" s="94"/>
      <c r="D95" s="101">
        <v>922</v>
      </c>
      <c r="E95" s="101"/>
      <c r="F95" s="102" t="s">
        <v>190</v>
      </c>
      <c r="G95" s="103">
        <f>G94</f>
        <v>3.36</v>
      </c>
      <c r="H95" s="104">
        <v>331</v>
      </c>
      <c r="I95" s="103">
        <f>I96</f>
        <v>331.21</v>
      </c>
      <c r="J95" s="86">
        <f t="shared" si="4"/>
        <v>9857.4404761904752</v>
      </c>
      <c r="K95" s="86">
        <f t="shared" si="5"/>
        <v>100.06344410876132</v>
      </c>
    </row>
    <row r="96" spans="2:16">
      <c r="B96" s="94"/>
      <c r="C96" s="94"/>
      <c r="D96" s="101"/>
      <c r="E96" s="101">
        <v>9221</v>
      </c>
      <c r="F96" s="102" t="s">
        <v>191</v>
      </c>
      <c r="G96" s="103">
        <v>3.36</v>
      </c>
      <c r="H96" s="104">
        <v>331</v>
      </c>
      <c r="I96" s="103">
        <v>331.21</v>
      </c>
      <c r="J96" s="86">
        <f t="shared" si="4"/>
        <v>9857.4404761904752</v>
      </c>
      <c r="K96" s="86">
        <f t="shared" si="5"/>
        <v>100.06344410876132</v>
      </c>
    </row>
    <row r="97" spans="2:11" ht="26.4">
      <c r="B97" s="94"/>
      <c r="C97" s="94"/>
      <c r="D97" s="101"/>
      <c r="E97" s="101"/>
      <c r="F97" s="102" t="s">
        <v>192</v>
      </c>
      <c r="G97" s="103">
        <f>G10+G93</f>
        <v>490027.42</v>
      </c>
      <c r="H97" s="104">
        <f>H10+H93</f>
        <v>481979.27</v>
      </c>
      <c r="I97" s="103">
        <f>I10-I34</f>
        <v>-710.93999999994412</v>
      </c>
      <c r="J97" s="86"/>
      <c r="K97" s="86"/>
    </row>
    <row r="98" spans="2:11" ht="26.4">
      <c r="B98" s="94"/>
      <c r="C98" s="94"/>
      <c r="D98" s="101"/>
      <c r="E98" s="101"/>
      <c r="F98" s="102" t="s">
        <v>202</v>
      </c>
      <c r="G98" s="103">
        <f>G97</f>
        <v>490027.42</v>
      </c>
      <c r="H98" s="104">
        <f>H97</f>
        <v>481979.27</v>
      </c>
      <c r="I98" s="103">
        <f>I97+I93</f>
        <v>-379.72999999994414</v>
      </c>
      <c r="J98" s="86"/>
      <c r="K98" s="86"/>
    </row>
  </sheetData>
  <mergeCells count="24">
    <mergeCell ref="K90:K91"/>
    <mergeCell ref="C92:F92"/>
    <mergeCell ref="B90:F91"/>
    <mergeCell ref="G90:G91"/>
    <mergeCell ref="H90:H91"/>
    <mergeCell ref="I90:I91"/>
    <mergeCell ref="J90:J91"/>
    <mergeCell ref="C33:F33"/>
    <mergeCell ref="I7:I8"/>
    <mergeCell ref="G31:G32"/>
    <mergeCell ref="H31:H32"/>
    <mergeCell ref="G7:G8"/>
    <mergeCell ref="H7:H8"/>
    <mergeCell ref="B7:F8"/>
    <mergeCell ref="B31:F32"/>
    <mergeCell ref="B9:F9"/>
    <mergeCell ref="B1:K1"/>
    <mergeCell ref="B3:K3"/>
    <mergeCell ref="B5:K5"/>
    <mergeCell ref="J31:J32"/>
    <mergeCell ref="K31:K32"/>
    <mergeCell ref="I31:I32"/>
    <mergeCell ref="K7:K8"/>
    <mergeCell ref="J7:J8"/>
  </mergeCells>
  <phoneticPr fontId="16" type="noConversion"/>
  <pageMargins left="0.7" right="0.7" top="0.75" bottom="0.75" header="0.3" footer="0.3"/>
  <pageSetup paperSize="9" scale="45" fitToHeight="4" orientation="portrait" r:id="rId1"/>
  <headerFooter alignWithMargins="0"/>
  <ignoredErrors>
    <ignoredError sqref="H41 H46 H50 H56 H66 I75 H37 I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35"/>
  <sheetViews>
    <sheetView workbookViewId="0">
      <selection activeCell="D12" sqref="D12"/>
    </sheetView>
  </sheetViews>
  <sheetFormatPr defaultRowHeight="13.2"/>
  <cols>
    <col min="2" max="2" width="37.6640625" customWidth="1"/>
    <col min="3" max="5" width="25.33203125" customWidth="1"/>
    <col min="6" max="7" width="15.6640625" customWidth="1"/>
  </cols>
  <sheetData>
    <row r="1" spans="2:7" ht="17.399999999999999">
      <c r="B1" s="14"/>
      <c r="C1" s="14"/>
      <c r="D1" s="14"/>
      <c r="E1" s="15"/>
      <c r="F1" s="15"/>
      <c r="G1" s="15"/>
    </row>
    <row r="2" spans="2:7" ht="15.75" customHeight="1">
      <c r="B2" s="232" t="s">
        <v>64</v>
      </c>
      <c r="C2" s="232"/>
      <c r="D2" s="232"/>
      <c r="E2" s="232"/>
      <c r="F2" s="232"/>
      <c r="G2" s="232"/>
    </row>
    <row r="3" spans="2:7" ht="17.399999999999999">
      <c r="B3" s="14"/>
      <c r="C3" s="14"/>
      <c r="D3" s="14"/>
      <c r="E3" s="15"/>
      <c r="F3" s="15"/>
      <c r="G3" s="15"/>
    </row>
    <row r="4" spans="2:7" ht="26.4">
      <c r="B4" s="16" t="s">
        <v>65</v>
      </c>
      <c r="C4" s="16" t="s">
        <v>161</v>
      </c>
      <c r="D4" s="16" t="s">
        <v>185</v>
      </c>
      <c r="E4" s="16" t="s">
        <v>162</v>
      </c>
      <c r="F4" s="16" t="s">
        <v>66</v>
      </c>
      <c r="G4" s="16" t="s">
        <v>66</v>
      </c>
    </row>
    <row r="5" spans="2:7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</row>
    <row r="6" spans="2:7">
      <c r="B6" s="17" t="s">
        <v>45</v>
      </c>
      <c r="C6" s="138">
        <f>C7+C9+C11+C13+C16+C18</f>
        <v>490024.06000000006</v>
      </c>
      <c r="D6" s="194">
        <f>D7+D9+D11+D13+D16+D18</f>
        <v>481979.27</v>
      </c>
      <c r="E6" s="23">
        <f>E7+E9+E11+E13+E16+E18</f>
        <v>511689.22000000009</v>
      </c>
      <c r="F6" s="80">
        <f>E6/C6*100</f>
        <v>104.42124413237997</v>
      </c>
      <c r="G6" s="80">
        <f>E6/D6*100</f>
        <v>106.16415515132012</v>
      </c>
    </row>
    <row r="7" spans="2:7">
      <c r="B7" s="17" t="s">
        <v>67</v>
      </c>
      <c r="C7" s="138">
        <f>C8</f>
        <v>0</v>
      </c>
      <c r="D7" s="195">
        <f>D8</f>
        <v>5220.2700000000004</v>
      </c>
      <c r="E7" s="24">
        <f>E8</f>
        <v>5220.2700000000004</v>
      </c>
      <c r="F7" s="80">
        <v>0</v>
      </c>
      <c r="G7" s="80">
        <f>E7/D7*100</f>
        <v>100</v>
      </c>
    </row>
    <row r="8" spans="2:7">
      <c r="B8" s="21" t="s">
        <v>68</v>
      </c>
      <c r="C8" s="138">
        <v>0</v>
      </c>
      <c r="D8" s="195">
        <f>1750+3245.27+225</f>
        <v>5220.2700000000004</v>
      </c>
      <c r="E8" s="24">
        <f>1750+3245.27+225</f>
        <v>5220.2700000000004</v>
      </c>
      <c r="F8" s="80">
        <v>0</v>
      </c>
      <c r="G8" s="80">
        <f>E8/D8*100</f>
        <v>100</v>
      </c>
    </row>
    <row r="9" spans="2:7">
      <c r="B9" s="17" t="s">
        <v>69</v>
      </c>
      <c r="C9" s="138">
        <f>C10</f>
        <v>0</v>
      </c>
      <c r="D9" s="19">
        <v>0</v>
      </c>
      <c r="E9" s="23">
        <v>0</v>
      </c>
      <c r="F9" s="80">
        <v>0</v>
      </c>
      <c r="G9" s="80">
        <v>0</v>
      </c>
    </row>
    <row r="10" spans="2:7">
      <c r="B10" s="22" t="s">
        <v>70</v>
      </c>
      <c r="C10" s="138">
        <v>0</v>
      </c>
      <c r="D10" s="19">
        <v>0</v>
      </c>
      <c r="E10" s="23">
        <v>0</v>
      </c>
      <c r="F10" s="80">
        <v>0</v>
      </c>
      <c r="G10" s="80">
        <v>0</v>
      </c>
    </row>
    <row r="11" spans="2:7">
      <c r="B11" s="17" t="s">
        <v>71</v>
      </c>
      <c r="C11" s="138">
        <f>C12</f>
        <v>0.03</v>
      </c>
      <c r="D11" s="19">
        <f>D12</f>
        <v>331</v>
      </c>
      <c r="E11" s="23">
        <v>0</v>
      </c>
      <c r="F11" s="80">
        <f t="shared" ref="F11:F35" si="0">E11/C11*100</f>
        <v>0</v>
      </c>
      <c r="G11" s="80">
        <v>0</v>
      </c>
    </row>
    <row r="12" spans="2:7" ht="26.4">
      <c r="B12" s="22" t="s">
        <v>75</v>
      </c>
      <c r="C12" s="138">
        <v>0.03</v>
      </c>
      <c r="D12" s="19">
        <v>331</v>
      </c>
      <c r="E12" s="23">
        <v>0</v>
      </c>
      <c r="F12" s="80">
        <f t="shared" si="0"/>
        <v>0</v>
      </c>
      <c r="G12" s="80">
        <v>0</v>
      </c>
    </row>
    <row r="13" spans="2:7">
      <c r="B13" s="17" t="s">
        <v>72</v>
      </c>
      <c r="C13" s="138">
        <f>C14+C15</f>
        <v>69625.849999999991</v>
      </c>
      <c r="D13" s="19">
        <f>D14+D15</f>
        <v>94289</v>
      </c>
      <c r="E13" s="23">
        <f>E14+E15</f>
        <v>94263</v>
      </c>
      <c r="F13" s="80">
        <f t="shared" si="0"/>
        <v>135.38506172635596</v>
      </c>
      <c r="G13" s="80">
        <f t="shared" ref="G13:G19" si="1">E13/D13*100</f>
        <v>99.972425203364125</v>
      </c>
    </row>
    <row r="14" spans="2:7">
      <c r="B14" s="139" t="s">
        <v>74</v>
      </c>
      <c r="C14" s="138">
        <v>167.23</v>
      </c>
      <c r="D14">
        <v>194</v>
      </c>
      <c r="E14" s="25">
        <v>168</v>
      </c>
      <c r="F14" s="80">
        <f t="shared" si="0"/>
        <v>100.46044370029301</v>
      </c>
      <c r="G14" s="80">
        <f t="shared" si="1"/>
        <v>86.597938144329902</v>
      </c>
    </row>
    <row r="15" spans="2:7">
      <c r="B15" s="22" t="s">
        <v>73</v>
      </c>
      <c r="C15" s="138">
        <f>69458.62</f>
        <v>69458.62</v>
      </c>
      <c r="D15" s="19">
        <f>44600+49495</f>
        <v>94095</v>
      </c>
      <c r="E15" s="23">
        <f>44600+49495</f>
        <v>94095</v>
      </c>
      <c r="F15" s="80">
        <f t="shared" si="0"/>
        <v>135.46914695397058</v>
      </c>
      <c r="G15" s="80">
        <f t="shared" si="1"/>
        <v>100</v>
      </c>
    </row>
    <row r="16" spans="2:7">
      <c r="B16" s="27" t="s">
        <v>76</v>
      </c>
      <c r="C16" s="138">
        <f>C17</f>
        <v>420349.34</v>
      </c>
      <c r="D16" s="19">
        <f>D17</f>
        <v>382073</v>
      </c>
      <c r="E16" s="23">
        <f>E17</f>
        <v>412129.95000000007</v>
      </c>
      <c r="F16" s="80">
        <f t="shared" si="0"/>
        <v>98.044628784239336</v>
      </c>
      <c r="G16" s="80">
        <f t="shared" si="1"/>
        <v>107.86680817540106</v>
      </c>
    </row>
    <row r="17" spans="2:7">
      <c r="B17" s="22" t="s">
        <v>77</v>
      </c>
      <c r="C17" s="138">
        <f>420349.34</f>
        <v>420349.34</v>
      </c>
      <c r="D17" s="19">
        <f>368639+2840+10500+94</f>
        <v>382073</v>
      </c>
      <c r="E17" s="23">
        <f>367597.84+13269.45+476.94+17429.05+1664.43+8778+1871.28+509.21+177+263.09+93.66</f>
        <v>412129.95000000007</v>
      </c>
      <c r="F17" s="80">
        <f t="shared" si="0"/>
        <v>98.044628784239336</v>
      </c>
      <c r="G17" s="80">
        <f t="shared" si="1"/>
        <v>107.86680817540106</v>
      </c>
    </row>
    <row r="18" spans="2:7">
      <c r="B18" s="27" t="s">
        <v>78</v>
      </c>
      <c r="C18" s="138">
        <f>C19</f>
        <v>48.84</v>
      </c>
      <c r="D18" s="19">
        <f>D19</f>
        <v>66</v>
      </c>
      <c r="E18" s="23">
        <f>E19</f>
        <v>76</v>
      </c>
      <c r="F18" s="80">
        <f t="shared" si="0"/>
        <v>155.6101556101556</v>
      </c>
      <c r="G18" s="80">
        <f t="shared" si="1"/>
        <v>115.15151515151516</v>
      </c>
    </row>
    <row r="19" spans="2:7">
      <c r="B19" s="22" t="s">
        <v>79</v>
      </c>
      <c r="C19" s="138">
        <f>48.84</f>
        <v>48.84</v>
      </c>
      <c r="D19" s="19">
        <v>66</v>
      </c>
      <c r="E19" s="23">
        <v>76</v>
      </c>
      <c r="F19" s="80">
        <f t="shared" si="0"/>
        <v>155.6101556101556</v>
      </c>
      <c r="G19" s="80">
        <f t="shared" si="1"/>
        <v>115.15151515151516</v>
      </c>
    </row>
    <row r="20" spans="2:7">
      <c r="B20" s="22"/>
      <c r="C20" s="138"/>
      <c r="D20" s="19"/>
      <c r="E20" s="26"/>
      <c r="F20" s="80"/>
      <c r="G20" s="80"/>
    </row>
    <row r="21" spans="2:7" ht="15.75" customHeight="1">
      <c r="B21" s="17" t="s">
        <v>46</v>
      </c>
      <c r="C21" s="138">
        <f>C22+C24+C26+C28+C31+C34</f>
        <v>489696.21</v>
      </c>
      <c r="D21" s="194">
        <f>D22+D24+D26+D28+D31+D34</f>
        <v>481979.27</v>
      </c>
      <c r="E21" s="26">
        <f>E22+E24+E26+E28+E31+E34</f>
        <v>512400.16000000003</v>
      </c>
      <c r="F21" s="80">
        <f t="shared" si="0"/>
        <v>104.63633361589628</v>
      </c>
      <c r="G21" s="80">
        <f>E21/D21*100</f>
        <v>106.31165942053897</v>
      </c>
    </row>
    <row r="22" spans="2:7" ht="15.75" customHeight="1">
      <c r="B22" s="17" t="s">
        <v>67</v>
      </c>
      <c r="C22" s="138">
        <f>C23</f>
        <v>2972.12</v>
      </c>
      <c r="D22" s="195">
        <f>D23</f>
        <v>5220.2700000000004</v>
      </c>
      <c r="E22" s="26">
        <f>E23</f>
        <v>5220.2700000000004</v>
      </c>
      <c r="F22" s="80">
        <f t="shared" si="0"/>
        <v>175.64129308372475</v>
      </c>
      <c r="G22" s="80">
        <f>E22/D22*100</f>
        <v>100</v>
      </c>
    </row>
    <row r="23" spans="2:7">
      <c r="B23" s="21" t="s">
        <v>68</v>
      </c>
      <c r="C23" s="138">
        <f>2972.12</f>
        <v>2972.12</v>
      </c>
      <c r="D23" s="195">
        <f>1750+225+3245.27</f>
        <v>5220.2700000000004</v>
      </c>
      <c r="E23" s="26">
        <f>1750+225+3245.27</f>
        <v>5220.2700000000004</v>
      </c>
      <c r="F23" s="80">
        <f t="shared" si="0"/>
        <v>175.64129308372475</v>
      </c>
      <c r="G23" s="80">
        <f t="shared" ref="G23:G34" si="2">E23/D23*100</f>
        <v>100</v>
      </c>
    </row>
    <row r="24" spans="2:7">
      <c r="B24" s="17" t="s">
        <v>69</v>
      </c>
      <c r="C24" s="138">
        <f>C25</f>
        <v>0</v>
      </c>
      <c r="D24" s="19">
        <v>0</v>
      </c>
      <c r="E24" s="26">
        <v>0</v>
      </c>
      <c r="F24" s="80">
        <v>0</v>
      </c>
      <c r="G24" s="80">
        <v>0</v>
      </c>
    </row>
    <row r="25" spans="2:7">
      <c r="B25" s="22" t="s">
        <v>70</v>
      </c>
      <c r="C25" s="138">
        <v>0</v>
      </c>
      <c r="D25" s="19">
        <v>0</v>
      </c>
      <c r="E25" s="26">
        <v>0</v>
      </c>
      <c r="F25" s="80">
        <v>0</v>
      </c>
      <c r="G25" s="80">
        <v>0</v>
      </c>
    </row>
    <row r="26" spans="2:7">
      <c r="B26" s="17" t="s">
        <v>71</v>
      </c>
      <c r="C26" s="138">
        <f>C27</f>
        <v>30.53</v>
      </c>
      <c r="D26" s="19">
        <f>D27</f>
        <v>331</v>
      </c>
      <c r="E26" s="26">
        <f>E27</f>
        <v>2.0099999999999998</v>
      </c>
      <c r="F26" s="80">
        <f t="shared" si="0"/>
        <v>6.5836881755650172</v>
      </c>
      <c r="G26" s="80">
        <v>0</v>
      </c>
    </row>
    <row r="27" spans="2:7">
      <c r="B27" s="22" t="s">
        <v>164</v>
      </c>
      <c r="C27" s="138">
        <f>30.53</f>
        <v>30.53</v>
      </c>
      <c r="D27" s="19">
        <v>331</v>
      </c>
      <c r="E27" s="26">
        <f>0.02+1.04+0.95</f>
        <v>2.0099999999999998</v>
      </c>
      <c r="F27" s="80">
        <f t="shared" si="0"/>
        <v>6.5836881755650172</v>
      </c>
      <c r="G27" s="80">
        <v>0</v>
      </c>
    </row>
    <row r="28" spans="2:7">
      <c r="B28" s="17" t="s">
        <v>72</v>
      </c>
      <c r="C28" s="138">
        <f>C29+C30</f>
        <v>44762.090000000004</v>
      </c>
      <c r="D28" s="19">
        <f>D29+D30</f>
        <v>94289</v>
      </c>
      <c r="E28" s="26">
        <f>E29+E30</f>
        <v>94263</v>
      </c>
      <c r="F28" s="80">
        <f t="shared" si="0"/>
        <v>210.58668172107241</v>
      </c>
      <c r="G28" s="80">
        <f t="shared" si="2"/>
        <v>99.972425203364125</v>
      </c>
    </row>
    <row r="29" spans="2:7">
      <c r="B29" s="139" t="s">
        <v>74</v>
      </c>
      <c r="C29" s="138">
        <f>167.23</f>
        <v>167.23</v>
      </c>
      <c r="D29" s="19">
        <f>D14</f>
        <v>194</v>
      </c>
      <c r="E29" s="26">
        <v>168</v>
      </c>
      <c r="F29" s="80">
        <f t="shared" si="0"/>
        <v>100.46044370029301</v>
      </c>
      <c r="G29" s="80">
        <f t="shared" si="2"/>
        <v>86.597938144329902</v>
      </c>
    </row>
    <row r="30" spans="2:7">
      <c r="B30" s="22" t="s">
        <v>73</v>
      </c>
      <c r="C30" s="138">
        <f>44594.86</f>
        <v>44594.86</v>
      </c>
      <c r="D30" s="19">
        <f>44600+49495</f>
        <v>94095</v>
      </c>
      <c r="E30" s="26">
        <v>94095</v>
      </c>
      <c r="F30" s="80">
        <f t="shared" si="0"/>
        <v>210.99965332327537</v>
      </c>
      <c r="G30" s="80">
        <f t="shared" si="2"/>
        <v>100</v>
      </c>
    </row>
    <row r="31" spans="2:7">
      <c r="B31" s="27" t="s">
        <v>76</v>
      </c>
      <c r="C31" s="138">
        <f>C32+C33</f>
        <v>441882.63</v>
      </c>
      <c r="D31" s="19">
        <f>D33</f>
        <v>382073</v>
      </c>
      <c r="E31" s="26">
        <f>E33</f>
        <v>412838.88</v>
      </c>
      <c r="F31" s="80">
        <f t="shared" si="0"/>
        <v>93.427270494882322</v>
      </c>
      <c r="G31" s="80">
        <f>E31/D31*100</f>
        <v>108.05235648684936</v>
      </c>
    </row>
    <row r="32" spans="2:7">
      <c r="B32" s="140" t="s">
        <v>163</v>
      </c>
      <c r="C32" s="138">
        <f>21891.64</f>
        <v>21891.64</v>
      </c>
      <c r="D32" s="19">
        <v>0</v>
      </c>
      <c r="E32" s="26">
        <v>0</v>
      </c>
      <c r="F32" s="80">
        <f t="shared" si="0"/>
        <v>0</v>
      </c>
      <c r="G32" s="80">
        <v>0</v>
      </c>
    </row>
    <row r="33" spans="2:7">
      <c r="B33" s="22" t="s">
        <v>77</v>
      </c>
      <c r="C33" s="138">
        <f>416965.32+3025.67</f>
        <v>419990.99</v>
      </c>
      <c r="D33" s="19">
        <f>368639+2840+10500+94</f>
        <v>382073</v>
      </c>
      <c r="E33" s="26">
        <f>288353.2+383.74+1805.97+21190.21+3087.74+226.36+487.43+772.19+597.26+500+5700+78.77+398.17+5700+52063.19+17429.05+9486.93+1664.43+509.21+1871.28+93.66+177+263.09</f>
        <v>412838.88</v>
      </c>
      <c r="F33" s="80">
        <f t="shared" si="0"/>
        <v>98.297080134981002</v>
      </c>
      <c r="G33" s="80">
        <f t="shared" si="2"/>
        <v>108.05235648684936</v>
      </c>
    </row>
    <row r="34" spans="2:7">
      <c r="B34" s="27" t="s">
        <v>78</v>
      </c>
      <c r="C34" s="138">
        <f>C35</f>
        <v>48.84</v>
      </c>
      <c r="D34" s="19">
        <f>D35</f>
        <v>66</v>
      </c>
      <c r="E34" s="26">
        <f>E35</f>
        <v>76</v>
      </c>
      <c r="F34" s="80">
        <f t="shared" si="0"/>
        <v>155.6101556101556</v>
      </c>
      <c r="G34" s="80">
        <f t="shared" si="2"/>
        <v>115.15151515151516</v>
      </c>
    </row>
    <row r="35" spans="2:7">
      <c r="B35" s="22" t="s">
        <v>79</v>
      </c>
      <c r="C35" s="138">
        <f>48.84</f>
        <v>48.84</v>
      </c>
      <c r="D35" s="19">
        <f>D19</f>
        <v>66</v>
      </c>
      <c r="E35" s="26">
        <v>76</v>
      </c>
      <c r="F35" s="80">
        <f t="shared" si="0"/>
        <v>155.6101556101556</v>
      </c>
      <c r="G35" s="80">
        <f>E35/D35*100</f>
        <v>115.15151515151516</v>
      </c>
    </row>
  </sheetData>
  <mergeCells count="1">
    <mergeCell ref="B2:G2"/>
  </mergeCells>
  <pageMargins left="0.7" right="0.7" top="0.75" bottom="0.75" header="0.3" footer="0.3"/>
  <pageSetup paperSize="9" orientation="portrait" r:id="rId1"/>
  <ignoredErrors>
    <ignoredError sqref="E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G10"/>
  <sheetViews>
    <sheetView workbookViewId="0">
      <selection activeCell="G5" sqref="G5"/>
    </sheetView>
  </sheetViews>
  <sheetFormatPr defaultRowHeight="13.2"/>
  <cols>
    <col min="2" max="2" width="37.6640625" customWidth="1"/>
    <col min="3" max="5" width="25.33203125" customWidth="1"/>
    <col min="6" max="7" width="15.6640625" customWidth="1"/>
  </cols>
  <sheetData>
    <row r="1" spans="2:7" ht="17.399999999999999">
      <c r="B1" s="14"/>
      <c r="C1" s="14"/>
      <c r="D1" s="14"/>
      <c r="E1" s="15"/>
      <c r="F1" s="15"/>
      <c r="G1" s="15"/>
    </row>
    <row r="2" spans="2:7" ht="15.75" customHeight="1">
      <c r="B2" s="232" t="s">
        <v>80</v>
      </c>
      <c r="C2" s="232"/>
      <c r="D2" s="232"/>
      <c r="E2" s="232"/>
      <c r="F2" s="232"/>
      <c r="G2" s="232"/>
    </row>
    <row r="3" spans="2:7" ht="17.399999999999999">
      <c r="B3" s="14"/>
      <c r="C3" s="14"/>
      <c r="D3" s="14"/>
      <c r="E3" s="15"/>
      <c r="F3" s="15"/>
      <c r="G3" s="15"/>
    </row>
    <row r="4" spans="2:7" ht="26.4">
      <c r="B4" s="16" t="s">
        <v>65</v>
      </c>
      <c r="C4" s="16" t="s">
        <v>166</v>
      </c>
      <c r="D4" s="16" t="s">
        <v>185</v>
      </c>
      <c r="E4" s="16" t="s">
        <v>167</v>
      </c>
      <c r="F4" s="16" t="s">
        <v>66</v>
      </c>
      <c r="G4" s="16" t="s">
        <v>66</v>
      </c>
    </row>
    <row r="5" spans="2:7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</row>
    <row r="6" spans="2:7" ht="15.75" customHeight="1">
      <c r="B6" s="17" t="s">
        <v>46</v>
      </c>
      <c r="C6" s="138">
        <f>C8+C10</f>
        <v>489696.21</v>
      </c>
      <c r="D6" s="138">
        <f>D7</f>
        <v>481979</v>
      </c>
      <c r="E6" s="20">
        <f>E7+E10</f>
        <v>512400.16</v>
      </c>
      <c r="F6" s="86">
        <f>E6/C6*100</f>
        <v>104.63633361589626</v>
      </c>
      <c r="G6" s="86">
        <f>E6/D6*100</f>
        <v>106.31171897530804</v>
      </c>
    </row>
    <row r="7" spans="2:7" ht="15.75" customHeight="1">
      <c r="B7" s="17" t="s">
        <v>83</v>
      </c>
      <c r="C7" s="138">
        <f>C8</f>
        <v>460973.34</v>
      </c>
      <c r="D7" s="138">
        <f>D8+D10</f>
        <v>481979</v>
      </c>
      <c r="E7" s="20">
        <f>E8</f>
        <v>484807.81</v>
      </c>
      <c r="F7" s="86">
        <f>E7/C7*100</f>
        <v>105.1704660404005</v>
      </c>
      <c r="G7" s="86">
        <f>E7/D7*100</f>
        <v>100.58691561250595</v>
      </c>
    </row>
    <row r="8" spans="2:7">
      <c r="B8" s="28" t="s">
        <v>165</v>
      </c>
      <c r="C8" s="148">
        <f>C9</f>
        <v>460973.34</v>
      </c>
      <c r="D8" s="138">
        <f>D9</f>
        <v>448377</v>
      </c>
      <c r="E8" s="20">
        <f>E9</f>
        <v>484807.81</v>
      </c>
      <c r="F8" s="86">
        <f>E8/C8*100</f>
        <v>105.1704660404005</v>
      </c>
      <c r="G8" s="86">
        <f>E8/D8*100</f>
        <v>108.12503986600561</v>
      </c>
    </row>
    <row r="9" spans="2:7">
      <c r="B9" s="29" t="s">
        <v>84</v>
      </c>
      <c r="C9" s="138">
        <v>460973.34</v>
      </c>
      <c r="D9" s="138">
        <v>448377</v>
      </c>
      <c r="E9" s="20">
        <f>484807.81</f>
        <v>484807.81</v>
      </c>
      <c r="F9" s="86">
        <f>E9/C9*100</f>
        <v>105.1704660404005</v>
      </c>
      <c r="G9" s="86">
        <f>E9/D9*100</f>
        <v>108.12503986600561</v>
      </c>
    </row>
    <row r="10" spans="2:7">
      <c r="B10" s="17" t="s">
        <v>85</v>
      </c>
      <c r="C10" s="138">
        <v>28722.87</v>
      </c>
      <c r="D10" s="138">
        <v>33602</v>
      </c>
      <c r="E10" s="20">
        <f>27592.35</f>
        <v>27592.35</v>
      </c>
      <c r="F10" s="86">
        <f>E10/C10*100</f>
        <v>96.064042346743207</v>
      </c>
      <c r="G10" s="86">
        <f>E10/D10*100</f>
        <v>82.115201476102612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G5" sqref="G5"/>
    </sheetView>
  </sheetViews>
  <sheetFormatPr defaultRowHeight="13.2"/>
  <cols>
    <col min="1" max="1" width="6.33203125" customWidth="1"/>
    <col min="2" max="2" width="6.6640625" customWidth="1"/>
    <col min="3" max="3" width="6.44140625" customWidth="1"/>
    <col min="4" max="4" width="7.33203125" customWidth="1"/>
    <col min="5" max="5" width="42.88671875" customWidth="1"/>
    <col min="6" max="6" width="14" customWidth="1"/>
    <col min="7" max="7" width="20.6640625" customWidth="1"/>
    <col min="8" max="8" width="13.88671875" customWidth="1"/>
    <col min="9" max="10" width="15.5546875" customWidth="1"/>
  </cols>
  <sheetData>
    <row r="1" spans="1:10" ht="20.100000000000001" customHeight="1">
      <c r="A1" s="232" t="s">
        <v>169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0.100000000000001" customHeight="1">
      <c r="A2" s="232" t="s">
        <v>170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20.100000000000001" customHeight="1">
      <c r="A3" s="14"/>
      <c r="B3" s="14"/>
      <c r="C3" s="14"/>
      <c r="D3" s="14"/>
      <c r="E3" s="14"/>
      <c r="F3" s="14"/>
      <c r="G3" s="14"/>
      <c r="H3" s="15"/>
      <c r="I3" s="15"/>
      <c r="J3" s="15"/>
    </row>
    <row r="4" spans="1:10" ht="43.5" customHeight="1">
      <c r="A4" s="259" t="s">
        <v>65</v>
      </c>
      <c r="B4" s="260"/>
      <c r="C4" s="260"/>
      <c r="D4" s="260"/>
      <c r="E4" s="261"/>
      <c r="F4" s="135" t="s">
        <v>136</v>
      </c>
      <c r="G4" s="16" t="s">
        <v>185</v>
      </c>
      <c r="H4" s="135" t="s">
        <v>134</v>
      </c>
      <c r="I4" s="135" t="s">
        <v>66</v>
      </c>
      <c r="J4" s="135" t="s">
        <v>66</v>
      </c>
    </row>
    <row r="5" spans="1:10" ht="20.100000000000001" customHeight="1">
      <c r="A5" s="259">
        <v>1</v>
      </c>
      <c r="B5" s="260"/>
      <c r="C5" s="260"/>
      <c r="D5" s="260"/>
      <c r="E5" s="261"/>
      <c r="F5" s="135">
        <v>2</v>
      </c>
      <c r="G5" s="135">
        <v>3</v>
      </c>
      <c r="H5" s="135">
        <v>4</v>
      </c>
      <c r="I5" s="135">
        <v>5</v>
      </c>
      <c r="J5" s="135">
        <v>6</v>
      </c>
    </row>
    <row r="6" spans="1:10" ht="24.9" customHeight="1">
      <c r="A6" s="17">
        <v>8</v>
      </c>
      <c r="B6" s="17"/>
      <c r="C6" s="17"/>
      <c r="D6" s="17"/>
      <c r="E6" s="17" t="s">
        <v>171</v>
      </c>
      <c r="F6" s="138">
        <v>0</v>
      </c>
      <c r="G6" s="18">
        <v>0</v>
      </c>
      <c r="H6" s="159">
        <v>0</v>
      </c>
      <c r="I6" s="82">
        <v>0</v>
      </c>
      <c r="J6" s="82">
        <v>0</v>
      </c>
    </row>
    <row r="7" spans="1:10" ht="24.9" customHeight="1">
      <c r="A7" s="17"/>
      <c r="B7" s="152">
        <v>84</v>
      </c>
      <c r="C7" s="152"/>
      <c r="D7" s="152"/>
      <c r="E7" s="152" t="s">
        <v>172</v>
      </c>
      <c r="F7" s="138">
        <v>0</v>
      </c>
      <c r="G7" s="18">
        <v>0</v>
      </c>
      <c r="H7" s="159">
        <v>0</v>
      </c>
      <c r="I7" s="82">
        <v>0</v>
      </c>
      <c r="J7" s="82">
        <v>0</v>
      </c>
    </row>
    <row r="8" spans="1:10" ht="24.9" customHeight="1">
      <c r="A8" s="153"/>
      <c r="B8" s="153"/>
      <c r="C8" s="153">
        <v>841</v>
      </c>
      <c r="D8" s="153"/>
      <c r="E8" s="154" t="s">
        <v>173</v>
      </c>
      <c r="F8" s="138">
        <v>0</v>
      </c>
      <c r="G8" s="18">
        <v>0</v>
      </c>
      <c r="H8" s="159">
        <v>0</v>
      </c>
      <c r="I8" s="82">
        <v>0</v>
      </c>
      <c r="J8" s="82">
        <v>0</v>
      </c>
    </row>
    <row r="9" spans="1:10" ht="24.9" customHeight="1">
      <c r="A9" s="153"/>
      <c r="B9" s="153"/>
      <c r="C9" s="153"/>
      <c r="D9" s="153">
        <v>8413</v>
      </c>
      <c r="E9" s="154" t="s">
        <v>174</v>
      </c>
      <c r="F9" s="138">
        <v>0</v>
      </c>
      <c r="G9" s="18">
        <v>0</v>
      </c>
      <c r="H9" s="159">
        <v>0</v>
      </c>
      <c r="I9" s="82">
        <v>0</v>
      </c>
      <c r="J9" s="82">
        <v>0</v>
      </c>
    </row>
    <row r="10" spans="1:10" ht="24.9" customHeight="1">
      <c r="A10" s="155">
        <v>5</v>
      </c>
      <c r="B10" s="156"/>
      <c r="C10" s="156"/>
      <c r="D10" s="156"/>
      <c r="E10" s="157" t="s">
        <v>175</v>
      </c>
      <c r="F10" s="138">
        <v>0</v>
      </c>
      <c r="G10" s="18">
        <v>0</v>
      </c>
      <c r="H10" s="159">
        <v>0</v>
      </c>
      <c r="I10" s="82">
        <v>0</v>
      </c>
      <c r="J10" s="82">
        <v>0</v>
      </c>
    </row>
    <row r="11" spans="1:10" ht="24.9" customHeight="1">
      <c r="A11" s="152"/>
      <c r="B11" s="152">
        <v>54</v>
      </c>
      <c r="C11" s="152"/>
      <c r="D11" s="152"/>
      <c r="E11" s="158" t="s">
        <v>176</v>
      </c>
      <c r="F11" s="138">
        <v>0</v>
      </c>
      <c r="G11" s="18">
        <v>0</v>
      </c>
      <c r="H11" s="159">
        <v>0</v>
      </c>
      <c r="I11" s="82">
        <v>0</v>
      </c>
      <c r="J11" s="82">
        <v>0</v>
      </c>
    </row>
    <row r="12" spans="1:10" ht="24.9" customHeight="1">
      <c r="A12" s="152"/>
      <c r="B12" s="152"/>
      <c r="C12" s="152">
        <v>541</v>
      </c>
      <c r="D12" s="154"/>
      <c r="E12" s="154" t="s">
        <v>177</v>
      </c>
      <c r="F12" s="138">
        <v>0</v>
      </c>
      <c r="G12" s="18">
        <v>0</v>
      </c>
      <c r="H12" s="159">
        <v>0</v>
      </c>
      <c r="I12" s="82">
        <v>0</v>
      </c>
      <c r="J12" s="82">
        <v>0</v>
      </c>
    </row>
    <row r="13" spans="1:10" ht="24.9" customHeight="1">
      <c r="A13" s="152"/>
      <c r="B13" s="152"/>
      <c r="C13" s="152"/>
      <c r="D13" s="154">
        <v>5413</v>
      </c>
      <c r="E13" s="154" t="s">
        <v>178</v>
      </c>
      <c r="F13" s="138">
        <v>0</v>
      </c>
      <c r="G13" s="18">
        <v>0</v>
      </c>
      <c r="H13" s="159">
        <v>0</v>
      </c>
      <c r="I13" s="82">
        <v>0</v>
      </c>
      <c r="J13" s="82">
        <v>0</v>
      </c>
    </row>
  </sheetData>
  <mergeCells count="4">
    <mergeCell ref="A1:J1"/>
    <mergeCell ref="A2:J2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6"/>
  <sheetViews>
    <sheetView workbookViewId="0">
      <selection activeCell="D5" sqref="D5"/>
    </sheetView>
  </sheetViews>
  <sheetFormatPr defaultRowHeight="13.2"/>
  <cols>
    <col min="2" max="2" width="30.109375" customWidth="1"/>
    <col min="3" max="5" width="25.6640625" customWidth="1"/>
    <col min="6" max="6" width="16.5546875" customWidth="1"/>
    <col min="7" max="7" width="17.109375" customWidth="1"/>
  </cols>
  <sheetData>
    <row r="1" spans="2:7" ht="20.100000000000001" customHeight="1">
      <c r="B1" s="14"/>
      <c r="C1" s="14"/>
      <c r="D1" s="14"/>
      <c r="E1" s="15"/>
      <c r="F1" s="15"/>
      <c r="G1" s="15"/>
    </row>
    <row r="2" spans="2:7" ht="20.100000000000001" customHeight="1">
      <c r="B2" s="232" t="s">
        <v>179</v>
      </c>
      <c r="C2" s="232"/>
      <c r="D2" s="232"/>
      <c r="E2" s="232"/>
      <c r="F2" s="232"/>
      <c r="G2" s="232"/>
    </row>
    <row r="3" spans="2:7" ht="20.100000000000001" customHeight="1">
      <c r="B3" s="14"/>
      <c r="C3" s="14"/>
      <c r="D3" s="14"/>
      <c r="E3" s="15"/>
      <c r="F3" s="15"/>
      <c r="G3" s="15"/>
    </row>
    <row r="4" spans="2:7" ht="36.75" customHeight="1">
      <c r="B4" s="16" t="s">
        <v>65</v>
      </c>
      <c r="C4" s="16" t="s">
        <v>133</v>
      </c>
      <c r="D4" s="16" t="s">
        <v>185</v>
      </c>
      <c r="E4" s="16" t="s">
        <v>135</v>
      </c>
      <c r="F4" s="16" t="s">
        <v>66</v>
      </c>
      <c r="G4" s="16" t="s">
        <v>66</v>
      </c>
    </row>
    <row r="5" spans="2:7" ht="20.100000000000001" customHeight="1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</row>
    <row r="6" spans="2:7" ht="20.100000000000001" customHeight="1">
      <c r="B6" s="17" t="s">
        <v>180</v>
      </c>
      <c r="C6" s="138">
        <v>0</v>
      </c>
      <c r="D6" s="18">
        <v>0</v>
      </c>
      <c r="E6" s="159">
        <v>0</v>
      </c>
      <c r="F6" s="82">
        <v>0</v>
      </c>
      <c r="G6" s="82">
        <v>0</v>
      </c>
    </row>
    <row r="7" spans="2:7" ht="20.100000000000001" customHeight="1">
      <c r="B7" s="17" t="s">
        <v>67</v>
      </c>
      <c r="C7" s="138">
        <v>0</v>
      </c>
      <c r="D7" s="18">
        <v>0</v>
      </c>
      <c r="E7" s="159">
        <v>0</v>
      </c>
      <c r="F7" s="82">
        <v>0</v>
      </c>
      <c r="G7" s="82">
        <v>0</v>
      </c>
    </row>
    <row r="8" spans="2:7" ht="20.100000000000001" customHeight="1">
      <c r="B8" s="21" t="s">
        <v>68</v>
      </c>
      <c r="C8" s="138">
        <v>0</v>
      </c>
      <c r="D8" s="18">
        <v>0</v>
      </c>
      <c r="E8" s="159">
        <v>0</v>
      </c>
      <c r="F8" s="82">
        <v>0</v>
      </c>
      <c r="G8" s="82">
        <v>0</v>
      </c>
    </row>
    <row r="9" spans="2:7" ht="20.100000000000001" customHeight="1">
      <c r="B9" s="17" t="s">
        <v>69</v>
      </c>
      <c r="C9" s="138">
        <v>0</v>
      </c>
      <c r="D9" s="18">
        <v>0</v>
      </c>
      <c r="E9" s="159">
        <v>0</v>
      </c>
      <c r="F9" s="82">
        <v>0</v>
      </c>
      <c r="G9" s="82">
        <v>0</v>
      </c>
    </row>
    <row r="10" spans="2:7" ht="24" customHeight="1">
      <c r="B10" s="22" t="s">
        <v>70</v>
      </c>
      <c r="C10" s="138">
        <v>0</v>
      </c>
      <c r="D10" s="18">
        <v>0</v>
      </c>
      <c r="E10" s="159">
        <v>0</v>
      </c>
      <c r="F10" s="82">
        <v>0</v>
      </c>
      <c r="G10" s="82">
        <v>0</v>
      </c>
    </row>
    <row r="11" spans="2:7" ht="20.100000000000001" customHeight="1">
      <c r="B11" s="17" t="s">
        <v>71</v>
      </c>
      <c r="C11" s="138">
        <v>0</v>
      </c>
      <c r="D11" s="18">
        <v>0</v>
      </c>
      <c r="E11" s="159">
        <v>0</v>
      </c>
      <c r="F11" s="82">
        <v>0</v>
      </c>
      <c r="G11" s="82">
        <v>0</v>
      </c>
    </row>
    <row r="12" spans="2:7" ht="26.25" customHeight="1">
      <c r="B12" s="22" t="s">
        <v>75</v>
      </c>
      <c r="C12" s="138">
        <v>0</v>
      </c>
      <c r="D12" s="18">
        <v>0</v>
      </c>
      <c r="E12" s="159">
        <v>0</v>
      </c>
      <c r="F12" s="82">
        <v>0</v>
      </c>
      <c r="G12" s="82">
        <v>0</v>
      </c>
    </row>
    <row r="13" spans="2:7" ht="20.100000000000001" customHeight="1">
      <c r="B13" s="17" t="s">
        <v>72</v>
      </c>
      <c r="C13" s="138">
        <v>0</v>
      </c>
      <c r="D13" s="18">
        <v>0</v>
      </c>
      <c r="E13" s="159">
        <v>0</v>
      </c>
      <c r="F13" s="82">
        <v>0</v>
      </c>
      <c r="G13" s="82">
        <v>0</v>
      </c>
    </row>
    <row r="14" spans="2:7" ht="20.100000000000001" customHeight="1">
      <c r="B14" s="139" t="s">
        <v>74</v>
      </c>
      <c r="C14" s="138">
        <v>0</v>
      </c>
      <c r="D14" s="18">
        <v>0</v>
      </c>
      <c r="E14" s="159">
        <v>0</v>
      </c>
      <c r="F14" s="82">
        <v>0</v>
      </c>
      <c r="G14" s="82">
        <v>0</v>
      </c>
    </row>
    <row r="15" spans="2:7" ht="20.100000000000001" customHeight="1">
      <c r="B15" s="22" t="s">
        <v>73</v>
      </c>
      <c r="C15" s="138">
        <v>0</v>
      </c>
      <c r="D15" s="18">
        <v>0</v>
      </c>
      <c r="E15" s="159">
        <v>0</v>
      </c>
      <c r="F15" s="82">
        <v>0</v>
      </c>
      <c r="G15" s="82">
        <v>0</v>
      </c>
    </row>
    <row r="16" spans="2:7" ht="20.100000000000001" customHeight="1">
      <c r="B16" s="27" t="s">
        <v>76</v>
      </c>
      <c r="C16" s="138">
        <v>0</v>
      </c>
      <c r="D16" s="18">
        <v>0</v>
      </c>
      <c r="E16" s="159">
        <v>0</v>
      </c>
      <c r="F16" s="82">
        <v>0</v>
      </c>
      <c r="G16" s="82">
        <v>0</v>
      </c>
    </row>
    <row r="17" spans="2:7" ht="24.75" customHeight="1">
      <c r="B17" s="161" t="s">
        <v>163</v>
      </c>
      <c r="C17" s="138">
        <v>0</v>
      </c>
      <c r="D17" s="18">
        <v>0</v>
      </c>
      <c r="E17" s="159">
        <v>0</v>
      </c>
      <c r="F17" s="82">
        <v>0</v>
      </c>
      <c r="G17" s="82">
        <v>0</v>
      </c>
    </row>
    <row r="18" spans="2:7" ht="20.100000000000001" customHeight="1">
      <c r="B18" s="22" t="s">
        <v>77</v>
      </c>
      <c r="C18" s="138">
        <v>0</v>
      </c>
      <c r="D18" s="18">
        <v>0</v>
      </c>
      <c r="E18" s="159">
        <v>0</v>
      </c>
      <c r="F18" s="82">
        <v>0</v>
      </c>
      <c r="G18" s="82">
        <v>0</v>
      </c>
    </row>
    <row r="19" spans="2:7" ht="20.100000000000001" customHeight="1">
      <c r="B19" s="27" t="s">
        <v>78</v>
      </c>
      <c r="C19" s="138">
        <v>0</v>
      </c>
      <c r="D19" s="18">
        <v>0</v>
      </c>
      <c r="E19" s="159">
        <v>0</v>
      </c>
      <c r="F19" s="82">
        <v>0</v>
      </c>
      <c r="G19" s="82">
        <v>0</v>
      </c>
    </row>
    <row r="20" spans="2:7" ht="20.100000000000001" customHeight="1">
      <c r="B20" s="22" t="s">
        <v>79</v>
      </c>
      <c r="C20" s="138">
        <v>0</v>
      </c>
      <c r="D20" s="18">
        <v>0</v>
      </c>
      <c r="E20" s="159">
        <v>0</v>
      </c>
      <c r="F20" s="82">
        <v>0</v>
      </c>
      <c r="G20" s="82">
        <v>0</v>
      </c>
    </row>
    <row r="21" spans="2:7" ht="21.75" customHeight="1">
      <c r="B21" s="160"/>
      <c r="C21" s="138"/>
      <c r="D21" s="18"/>
      <c r="E21" s="159"/>
      <c r="F21" s="82"/>
      <c r="G21" s="82"/>
    </row>
    <row r="22" spans="2:7" ht="20.100000000000001" customHeight="1">
      <c r="B22" s="162" t="s">
        <v>181</v>
      </c>
      <c r="C22" s="138">
        <v>0</v>
      </c>
      <c r="D22" s="18">
        <v>0</v>
      </c>
      <c r="E22" s="159">
        <v>0</v>
      </c>
      <c r="F22" s="82">
        <v>0</v>
      </c>
      <c r="G22" s="82">
        <v>0</v>
      </c>
    </row>
    <row r="23" spans="2:7" ht="20.100000000000001" customHeight="1">
      <c r="B23" s="17" t="s">
        <v>67</v>
      </c>
      <c r="C23" s="138">
        <v>0</v>
      </c>
      <c r="D23" s="18">
        <v>0</v>
      </c>
      <c r="E23" s="159">
        <v>0</v>
      </c>
      <c r="F23" s="82">
        <v>0</v>
      </c>
      <c r="G23" s="82">
        <v>0</v>
      </c>
    </row>
    <row r="24" spans="2:7" ht="20.100000000000001" customHeight="1">
      <c r="B24" s="21" t="s">
        <v>68</v>
      </c>
      <c r="C24" s="138">
        <v>0</v>
      </c>
      <c r="D24" s="18">
        <v>0</v>
      </c>
      <c r="E24" s="159">
        <v>0</v>
      </c>
      <c r="F24" s="82">
        <v>0</v>
      </c>
      <c r="G24" s="82">
        <v>0</v>
      </c>
    </row>
    <row r="25" spans="2:7" ht="20.100000000000001" customHeight="1">
      <c r="B25" s="17" t="s">
        <v>69</v>
      </c>
      <c r="C25" s="138">
        <v>0</v>
      </c>
      <c r="D25" s="18">
        <v>0</v>
      </c>
      <c r="E25" s="159">
        <v>0</v>
      </c>
      <c r="F25" s="82">
        <v>0</v>
      </c>
      <c r="G25" s="82">
        <v>0</v>
      </c>
    </row>
    <row r="26" spans="2:7" ht="20.100000000000001" customHeight="1">
      <c r="B26" s="22" t="s">
        <v>70</v>
      </c>
      <c r="C26" s="138">
        <v>0</v>
      </c>
      <c r="D26" s="18">
        <v>0</v>
      </c>
      <c r="E26" s="159">
        <v>0</v>
      </c>
      <c r="F26" s="82">
        <v>0</v>
      </c>
      <c r="G26" s="82">
        <v>0</v>
      </c>
    </row>
    <row r="27" spans="2:7" ht="20.100000000000001" customHeight="1">
      <c r="B27" s="17" t="s">
        <v>71</v>
      </c>
      <c r="C27" s="138">
        <v>0</v>
      </c>
      <c r="D27" s="18">
        <v>0</v>
      </c>
      <c r="E27" s="159">
        <v>0</v>
      </c>
      <c r="F27" s="82">
        <v>0</v>
      </c>
      <c r="G27" s="82">
        <v>0</v>
      </c>
    </row>
    <row r="28" spans="2:7" ht="26.4">
      <c r="B28" s="22" t="s">
        <v>75</v>
      </c>
      <c r="C28" s="138">
        <v>0</v>
      </c>
      <c r="D28" s="18">
        <v>0</v>
      </c>
      <c r="E28" s="159">
        <v>0</v>
      </c>
      <c r="F28" s="82">
        <v>0</v>
      </c>
      <c r="G28" s="82">
        <v>0</v>
      </c>
    </row>
    <row r="29" spans="2:7">
      <c r="B29" s="17" t="s">
        <v>72</v>
      </c>
      <c r="C29" s="138">
        <v>0</v>
      </c>
      <c r="D29" s="18">
        <v>0</v>
      </c>
      <c r="E29" s="159">
        <v>0</v>
      </c>
      <c r="F29" s="82">
        <v>0</v>
      </c>
      <c r="G29" s="82">
        <v>0</v>
      </c>
    </row>
    <row r="30" spans="2:7">
      <c r="B30" s="139" t="s">
        <v>74</v>
      </c>
      <c r="C30" s="138">
        <v>0</v>
      </c>
      <c r="D30" s="18">
        <v>0</v>
      </c>
      <c r="E30" s="159">
        <v>0</v>
      </c>
      <c r="F30" s="82">
        <v>0</v>
      </c>
      <c r="G30" s="82">
        <v>0</v>
      </c>
    </row>
    <row r="31" spans="2:7">
      <c r="B31" s="22" t="s">
        <v>73</v>
      </c>
      <c r="C31" s="138">
        <v>0</v>
      </c>
      <c r="D31" s="18">
        <v>0</v>
      </c>
      <c r="E31" s="159">
        <v>0</v>
      </c>
      <c r="F31" s="82">
        <v>0</v>
      </c>
      <c r="G31" s="82">
        <v>0</v>
      </c>
    </row>
    <row r="32" spans="2:7">
      <c r="B32" s="27" t="s">
        <v>76</v>
      </c>
      <c r="C32" s="138">
        <v>0</v>
      </c>
      <c r="D32" s="18">
        <v>0</v>
      </c>
      <c r="E32" s="159">
        <v>0</v>
      </c>
      <c r="F32" s="82">
        <v>0</v>
      </c>
      <c r="G32" s="82">
        <v>0</v>
      </c>
    </row>
    <row r="33" spans="2:7" ht="26.4">
      <c r="B33" s="161" t="s">
        <v>163</v>
      </c>
      <c r="C33" s="138">
        <v>0</v>
      </c>
      <c r="D33" s="18">
        <v>0</v>
      </c>
      <c r="E33" s="159">
        <v>0</v>
      </c>
      <c r="F33" s="82">
        <v>0</v>
      </c>
      <c r="G33" s="82">
        <v>0</v>
      </c>
    </row>
    <row r="34" spans="2:7">
      <c r="B34" s="22" t="s">
        <v>77</v>
      </c>
      <c r="C34" s="138">
        <v>0</v>
      </c>
      <c r="D34" s="18">
        <v>0</v>
      </c>
      <c r="E34" s="159">
        <v>0</v>
      </c>
      <c r="F34" s="82">
        <v>0</v>
      </c>
      <c r="G34" s="82">
        <v>0</v>
      </c>
    </row>
    <row r="35" spans="2:7">
      <c r="B35" s="27" t="s">
        <v>78</v>
      </c>
      <c r="C35" s="138">
        <v>0</v>
      </c>
      <c r="D35" s="18">
        <v>0</v>
      </c>
      <c r="E35" s="159">
        <v>0</v>
      </c>
      <c r="F35" s="82">
        <v>0</v>
      </c>
      <c r="G35" s="82">
        <v>0</v>
      </c>
    </row>
    <row r="36" spans="2:7">
      <c r="B36" s="22" t="s">
        <v>79</v>
      </c>
      <c r="C36" s="138">
        <v>0</v>
      </c>
      <c r="D36" s="18">
        <v>0</v>
      </c>
      <c r="E36" s="159">
        <v>0</v>
      </c>
      <c r="F36" s="82">
        <v>0</v>
      </c>
      <c r="G36" s="82">
        <v>0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M81"/>
  <sheetViews>
    <sheetView topLeftCell="A66" workbookViewId="0">
      <selection activeCell="H76" sqref="H76"/>
    </sheetView>
  </sheetViews>
  <sheetFormatPr defaultRowHeight="13.2"/>
  <cols>
    <col min="2" max="2" width="8.109375" bestFit="1" customWidth="1"/>
    <col min="3" max="3" width="8.44140625" bestFit="1" customWidth="1"/>
    <col min="4" max="4" width="20.109375" customWidth="1"/>
    <col min="5" max="5" width="45.88671875" customWidth="1"/>
    <col min="6" max="7" width="25.33203125" customWidth="1"/>
    <col min="8" max="8" width="15.6640625" customWidth="1"/>
    <col min="10" max="10" width="10.109375" bestFit="1" customWidth="1"/>
    <col min="12" max="12" width="10.109375" bestFit="1" customWidth="1"/>
  </cols>
  <sheetData>
    <row r="1" spans="2:10" ht="17.399999999999999">
      <c r="B1" s="14"/>
      <c r="C1" s="14"/>
      <c r="D1" s="14"/>
      <c r="E1" s="14"/>
      <c r="F1" s="14"/>
      <c r="G1" s="14"/>
      <c r="H1" s="15"/>
    </row>
    <row r="2" spans="2:10" ht="18" customHeight="1">
      <c r="B2" s="232" t="s">
        <v>81</v>
      </c>
      <c r="C2" s="268"/>
      <c r="D2" s="268"/>
      <c r="E2" s="268"/>
      <c r="F2" s="268"/>
      <c r="G2" s="268"/>
      <c r="H2" s="268"/>
    </row>
    <row r="3" spans="2:10" ht="17.399999999999999">
      <c r="B3" s="14"/>
      <c r="C3" s="14"/>
      <c r="D3" s="14"/>
      <c r="E3" s="14"/>
      <c r="F3" s="14"/>
      <c r="G3" s="14"/>
      <c r="H3" s="15"/>
    </row>
    <row r="4" spans="2:10" ht="15.6">
      <c r="B4" s="269" t="s">
        <v>82</v>
      </c>
      <c r="C4" s="269"/>
      <c r="D4" s="269"/>
      <c r="E4" s="269"/>
      <c r="F4" s="269"/>
      <c r="G4" s="269"/>
      <c r="H4" s="269"/>
    </row>
    <row r="5" spans="2:10" ht="17.399999999999999">
      <c r="B5" s="14"/>
      <c r="C5" s="14"/>
      <c r="D5" s="14"/>
      <c r="E5" s="14"/>
      <c r="F5" s="14"/>
      <c r="G5" s="14"/>
      <c r="H5" s="15"/>
    </row>
    <row r="6" spans="2:10" ht="26.4">
      <c r="B6" s="259" t="s">
        <v>65</v>
      </c>
      <c r="C6" s="260"/>
      <c r="D6" s="260"/>
      <c r="E6" s="261"/>
      <c r="F6" s="16" t="s">
        <v>185</v>
      </c>
      <c r="G6" s="16" t="s">
        <v>168</v>
      </c>
      <c r="H6" s="16" t="s">
        <v>66</v>
      </c>
    </row>
    <row r="7" spans="2:10" s="31" customFormat="1" ht="15.75" customHeight="1">
      <c r="B7" s="270">
        <v>1</v>
      </c>
      <c r="C7" s="271"/>
      <c r="D7" s="271"/>
      <c r="E7" s="272"/>
      <c r="F7" s="30">
        <v>2</v>
      </c>
      <c r="G7" s="30">
        <v>3</v>
      </c>
      <c r="H7" s="30">
        <v>4</v>
      </c>
    </row>
    <row r="8" spans="2:10" s="31" customFormat="1" ht="15.75" customHeight="1">
      <c r="B8" s="180" t="s">
        <v>193</v>
      </c>
      <c r="C8" s="181" t="s">
        <v>194</v>
      </c>
      <c r="D8" s="181" t="s">
        <v>195</v>
      </c>
      <c r="E8" s="206" t="s">
        <v>86</v>
      </c>
      <c r="F8" s="205">
        <f>F15+F49</f>
        <v>481979.27</v>
      </c>
      <c r="G8" s="205">
        <f>G15+G49</f>
        <v>512400.16000000003</v>
      </c>
      <c r="H8" s="149">
        <f>G8/F8*100</f>
        <v>106.31165942053897</v>
      </c>
    </row>
    <row r="9" spans="2:10" s="34" customFormat="1" ht="30" customHeight="1">
      <c r="B9" s="265" t="s">
        <v>89</v>
      </c>
      <c r="C9" s="265"/>
      <c r="D9" s="265"/>
      <c r="E9" s="35" t="s">
        <v>90</v>
      </c>
      <c r="F9" s="34">
        <f>1750+225+3245</f>
        <v>5220</v>
      </c>
      <c r="G9" s="184">
        <f>1750+225+3245.27</f>
        <v>5220.2700000000004</v>
      </c>
      <c r="H9" s="149">
        <f t="shared" ref="H9:H64" si="0">G9/F9*100</f>
        <v>100.00517241379312</v>
      </c>
    </row>
    <row r="10" spans="2:10" s="34" customFormat="1" ht="30" customHeight="1">
      <c r="B10" s="183" t="s">
        <v>102</v>
      </c>
      <c r="C10" s="37"/>
      <c r="D10" s="32"/>
      <c r="E10" s="150" t="s">
        <v>105</v>
      </c>
      <c r="F10" s="33">
        <f>331</f>
        <v>331</v>
      </c>
      <c r="G10" s="185">
        <f>0.02+1.04+0.95</f>
        <v>2.0099999999999998</v>
      </c>
      <c r="H10" s="149">
        <f t="shared" si="0"/>
        <v>0.607250755287009</v>
      </c>
    </row>
    <row r="11" spans="2:10" s="34" customFormat="1" ht="30" customHeight="1">
      <c r="B11" s="183" t="s">
        <v>103</v>
      </c>
      <c r="C11" s="37"/>
      <c r="D11" s="32"/>
      <c r="E11" s="35" t="s">
        <v>106</v>
      </c>
      <c r="F11" s="33">
        <f>194</f>
        <v>194</v>
      </c>
      <c r="G11" s="185">
        <f>168</f>
        <v>168</v>
      </c>
      <c r="H11" s="149">
        <f t="shared" si="0"/>
        <v>86.597938144329902</v>
      </c>
    </row>
    <row r="12" spans="2:10" s="34" customFormat="1" ht="30" customHeight="1">
      <c r="B12" s="36" t="s">
        <v>91</v>
      </c>
      <c r="C12" s="178"/>
      <c r="D12" s="179"/>
      <c r="E12" s="38" t="s">
        <v>93</v>
      </c>
      <c r="F12" s="33">
        <f>44600+49495</f>
        <v>94095</v>
      </c>
      <c r="G12" s="185">
        <f>44600+49495</f>
        <v>94095</v>
      </c>
      <c r="H12" s="149">
        <f t="shared" si="0"/>
        <v>100</v>
      </c>
    </row>
    <row r="13" spans="2:10" s="34" customFormat="1" ht="30" customHeight="1">
      <c r="B13" s="39" t="s">
        <v>92</v>
      </c>
      <c r="C13" s="178"/>
      <c r="D13" s="179"/>
      <c r="E13" s="38" t="s">
        <v>94</v>
      </c>
      <c r="F13" s="33">
        <f>368639+2840+10500+94</f>
        <v>382073</v>
      </c>
      <c r="G13" s="185">
        <f>400437.71+12401.17</f>
        <v>412838.88</v>
      </c>
      <c r="H13" s="149">
        <f t="shared" si="0"/>
        <v>108.05235648684936</v>
      </c>
    </row>
    <row r="14" spans="2:10" s="34" customFormat="1" ht="30" customHeight="1">
      <c r="B14" s="39" t="s">
        <v>104</v>
      </c>
      <c r="C14" s="178"/>
      <c r="D14" s="179"/>
      <c r="E14" s="182" t="s">
        <v>107</v>
      </c>
      <c r="F14" s="33">
        <f>66</f>
        <v>66</v>
      </c>
      <c r="G14" s="185">
        <f>76</f>
        <v>76</v>
      </c>
      <c r="H14" s="149">
        <f t="shared" si="0"/>
        <v>115.15151515151516</v>
      </c>
    </row>
    <row r="15" spans="2:10" s="34" customFormat="1" ht="30" customHeight="1">
      <c r="B15" s="273" t="s">
        <v>87</v>
      </c>
      <c r="C15" s="274"/>
      <c r="D15" s="275"/>
      <c r="E15" s="203" t="s">
        <v>88</v>
      </c>
      <c r="F15" s="204">
        <f>F16+F17+F18</f>
        <v>464484</v>
      </c>
      <c r="G15" s="205">
        <f>G16+G17+G18</f>
        <v>496282.71</v>
      </c>
      <c r="H15" s="149">
        <f t="shared" si="0"/>
        <v>106.84602914201567</v>
      </c>
      <c r="J15" s="41"/>
    </row>
    <row r="16" spans="2:10" s="34" customFormat="1" ht="30" customHeight="1">
      <c r="B16" s="265" t="s">
        <v>89</v>
      </c>
      <c r="C16" s="265"/>
      <c r="D16" s="265"/>
      <c r="E16" s="35" t="s">
        <v>90</v>
      </c>
      <c r="F16" s="33">
        <f>1750</f>
        <v>1750</v>
      </c>
      <c r="G16" s="40">
        <f>1750</f>
        <v>1750</v>
      </c>
      <c r="H16" s="149">
        <f t="shared" si="0"/>
        <v>100</v>
      </c>
    </row>
    <row r="17" spans="2:13" s="34" customFormat="1" ht="30" customHeight="1">
      <c r="B17" s="177" t="s">
        <v>91</v>
      </c>
      <c r="C17" s="178"/>
      <c r="D17" s="179"/>
      <c r="E17" s="38" t="s">
        <v>93</v>
      </c>
      <c r="F17" s="33">
        <f>44600+49495</f>
        <v>94095</v>
      </c>
      <c r="G17" s="40">
        <f>44600+49495</f>
        <v>94095</v>
      </c>
      <c r="H17" s="149">
        <f t="shared" si="0"/>
        <v>100</v>
      </c>
    </row>
    <row r="18" spans="2:13" s="34" customFormat="1" ht="30" customHeight="1">
      <c r="B18" s="39" t="s">
        <v>92</v>
      </c>
      <c r="C18" s="178"/>
      <c r="D18" s="179"/>
      <c r="E18" s="38" t="s">
        <v>94</v>
      </c>
      <c r="F18" s="33">
        <f>368639</f>
        <v>368639</v>
      </c>
      <c r="G18" s="40">
        <f>367597.84+13269.45+476.94+17429.05+1664.43</f>
        <v>400437.71</v>
      </c>
      <c r="H18" s="149">
        <f t="shared" si="0"/>
        <v>108.62597554789374</v>
      </c>
    </row>
    <row r="19" spans="2:13" s="34" customFormat="1" ht="30" customHeight="1">
      <c r="B19" s="262" t="s">
        <v>95</v>
      </c>
      <c r="C19" s="263"/>
      <c r="D19" s="264"/>
      <c r="E19" s="151" t="s">
        <v>96</v>
      </c>
      <c r="F19" s="33">
        <f>1750+44600+368639</f>
        <v>414989</v>
      </c>
      <c r="G19" s="41">
        <f>G20+G26+G43</f>
        <v>446787.70999999996</v>
      </c>
      <c r="H19" s="149">
        <f t="shared" si="0"/>
        <v>107.6625428625819</v>
      </c>
      <c r="J19" s="41"/>
    </row>
    <row r="20" spans="2:13" s="34" customFormat="1" ht="30" customHeight="1">
      <c r="B20" s="36">
        <v>31</v>
      </c>
      <c r="C20" s="37"/>
      <c r="D20" s="32"/>
      <c r="E20" s="38" t="s">
        <v>0</v>
      </c>
      <c r="F20" s="33">
        <f>284023+11295+50894</f>
        <v>346212</v>
      </c>
      <c r="G20" s="40">
        <f>288353.2+383.74+1805.97+21190.21+3087.74+226.36+487.43+772.19+597.26+500+5700+78.77+398.17+5700+52063.19</f>
        <v>381344.23</v>
      </c>
      <c r="H20" s="149">
        <f t="shared" si="0"/>
        <v>110.14760609106557</v>
      </c>
    </row>
    <row r="21" spans="2:13" s="34" customFormat="1" ht="30" customHeight="1">
      <c r="B21" s="177"/>
      <c r="C21" s="178"/>
      <c r="D21" s="179">
        <v>3111</v>
      </c>
      <c r="E21" s="38" t="s">
        <v>22</v>
      </c>
      <c r="F21" s="33"/>
      <c r="G21" s="40">
        <f>288736.94</f>
        <v>288736.94</v>
      </c>
      <c r="H21" s="149"/>
    </row>
    <row r="22" spans="2:13" s="34" customFormat="1" ht="30" customHeight="1">
      <c r="B22" s="177"/>
      <c r="C22" s="178"/>
      <c r="D22" s="179">
        <v>3113</v>
      </c>
      <c r="E22" s="38" t="s">
        <v>196</v>
      </c>
      <c r="F22" s="33"/>
      <c r="G22" s="40">
        <f>1805.97</f>
        <v>1805.97</v>
      </c>
      <c r="H22" s="149"/>
    </row>
    <row r="23" spans="2:13" s="34" customFormat="1" ht="30" customHeight="1">
      <c r="B23" s="177"/>
      <c r="C23" s="178"/>
      <c r="D23" s="179">
        <v>3114</v>
      </c>
      <c r="E23" s="38" t="s">
        <v>197</v>
      </c>
      <c r="F23" s="33"/>
      <c r="G23" s="40">
        <f>24991.74</f>
        <v>24991.74</v>
      </c>
      <c r="H23" s="149"/>
    </row>
    <row r="24" spans="2:13" s="34" customFormat="1" ht="30" customHeight="1">
      <c r="B24" s="177"/>
      <c r="C24" s="178"/>
      <c r="D24" s="179">
        <v>3121</v>
      </c>
      <c r="E24" s="38" t="s">
        <v>198</v>
      </c>
      <c r="F24" s="33"/>
      <c r="G24" s="40">
        <f>1369.45+6200+476.94+5700</f>
        <v>13746.39</v>
      </c>
      <c r="H24" s="149"/>
    </row>
    <row r="25" spans="2:13" s="34" customFormat="1" ht="30" customHeight="1">
      <c r="B25" s="177"/>
      <c r="C25" s="178"/>
      <c r="D25" s="179">
        <v>3132</v>
      </c>
      <c r="E25" s="38" t="s">
        <v>199</v>
      </c>
      <c r="F25" s="33"/>
      <c r="G25" s="40">
        <f>52063.19</f>
        <v>52063.19</v>
      </c>
      <c r="H25" s="149"/>
    </row>
    <row r="26" spans="2:13" s="34" customFormat="1" ht="30" customHeight="1">
      <c r="B26" s="36">
        <v>32</v>
      </c>
      <c r="C26" s="37"/>
      <c r="D26" s="32"/>
      <c r="E26" s="38" t="s">
        <v>4</v>
      </c>
      <c r="F26" s="33">
        <f>1750+929+9571+33602+228+18072+664+1700</f>
        <v>66516</v>
      </c>
      <c r="G26" s="40">
        <f>44600-270+1750+1664.43+17429.05</f>
        <v>65173.479999999996</v>
      </c>
      <c r="H26" s="149">
        <f t="shared" si="0"/>
        <v>97.981658548319189</v>
      </c>
      <c r="J26" s="41"/>
    </row>
    <row r="27" spans="2:13" s="34" customFormat="1" ht="30" customHeight="1">
      <c r="B27" s="177"/>
      <c r="C27" s="178"/>
      <c r="D27" s="179">
        <v>3211</v>
      </c>
      <c r="E27" s="38" t="s">
        <v>25</v>
      </c>
      <c r="F27" s="33"/>
      <c r="G27" s="40">
        <f>1043.6</f>
        <v>1043.5999999999999</v>
      </c>
      <c r="H27" s="149"/>
    </row>
    <row r="28" spans="2:13" s="34" customFormat="1" ht="30" customHeight="1">
      <c r="B28" s="177"/>
      <c r="C28" s="178"/>
      <c r="D28" s="179">
        <v>3212</v>
      </c>
      <c r="E28" s="38" t="s">
        <v>200</v>
      </c>
      <c r="F28" s="33"/>
      <c r="G28" s="40">
        <v>17429.05</v>
      </c>
      <c r="H28" s="149"/>
    </row>
    <row r="29" spans="2:13" s="34" customFormat="1" ht="30" customHeight="1">
      <c r="B29" s="177"/>
      <c r="C29" s="178"/>
      <c r="D29" s="179">
        <v>3221</v>
      </c>
      <c r="E29" s="38" t="s">
        <v>8</v>
      </c>
      <c r="F29" s="33"/>
      <c r="G29" s="40">
        <f>2879.2-0.95</f>
        <v>2878.25</v>
      </c>
      <c r="H29" s="149"/>
      <c r="M29" s="187"/>
    </row>
    <row r="30" spans="2:13" s="34" customFormat="1" ht="30" customHeight="1">
      <c r="B30" s="177"/>
      <c r="C30" s="178"/>
      <c r="D30" s="179">
        <v>3223</v>
      </c>
      <c r="E30" s="38" t="s">
        <v>29</v>
      </c>
      <c r="F30" s="33"/>
      <c r="G30" s="40">
        <v>5993.02</v>
      </c>
      <c r="H30" s="149"/>
      <c r="M30" s="187"/>
    </row>
    <row r="31" spans="2:13" s="34" customFormat="1" ht="30" customHeight="1">
      <c r="B31" s="177"/>
      <c r="C31" s="178"/>
      <c r="D31" s="179">
        <v>3224</v>
      </c>
      <c r="E31" s="38" t="s">
        <v>31</v>
      </c>
      <c r="F31" s="33"/>
      <c r="G31" s="40">
        <v>315.04000000000002</v>
      </c>
      <c r="H31" s="149"/>
    </row>
    <row r="32" spans="2:13" s="34" customFormat="1" ht="30" customHeight="1">
      <c r="B32" s="177"/>
      <c r="C32" s="178"/>
      <c r="D32" s="179">
        <v>3225</v>
      </c>
      <c r="E32" s="38" t="s">
        <v>49</v>
      </c>
      <c r="F32" s="33"/>
      <c r="G32" s="40">
        <f>2380.04-1.04-76</f>
        <v>2303</v>
      </c>
      <c r="H32" s="149"/>
    </row>
    <row r="33" spans="2:8" s="34" customFormat="1" ht="30" customHeight="1">
      <c r="B33" s="177"/>
      <c r="C33" s="178"/>
      <c r="D33" s="179">
        <v>3231</v>
      </c>
      <c r="E33" s="38" t="s">
        <v>33</v>
      </c>
      <c r="F33" s="33"/>
      <c r="G33" s="40">
        <v>28278.34</v>
      </c>
      <c r="H33" s="149"/>
    </row>
    <row r="34" spans="2:8" s="34" customFormat="1" ht="30" customHeight="1">
      <c r="B34" s="177"/>
      <c r="C34" s="178"/>
      <c r="D34" s="179">
        <v>3232</v>
      </c>
      <c r="E34" s="38" t="s">
        <v>35</v>
      </c>
      <c r="F34" s="33"/>
      <c r="G34" s="40">
        <v>1660.06</v>
      </c>
      <c r="H34" s="149"/>
    </row>
    <row r="35" spans="2:8" s="34" customFormat="1" ht="30" customHeight="1">
      <c r="B35" s="177"/>
      <c r="C35" s="178"/>
      <c r="D35" s="179">
        <v>3234</v>
      </c>
      <c r="E35" s="38" t="s">
        <v>37</v>
      </c>
      <c r="F35" s="33"/>
      <c r="G35" s="40">
        <v>1205.82</v>
      </c>
      <c r="H35" s="149"/>
    </row>
    <row r="36" spans="2:8" s="34" customFormat="1" ht="30" customHeight="1">
      <c r="B36" s="177"/>
      <c r="C36" s="178"/>
      <c r="D36" s="179">
        <v>3235</v>
      </c>
      <c r="E36" s="38" t="s">
        <v>56</v>
      </c>
      <c r="F36" s="33"/>
      <c r="G36" s="40">
        <v>278.23</v>
      </c>
      <c r="H36" s="149"/>
    </row>
    <row r="37" spans="2:8" s="34" customFormat="1" ht="30" customHeight="1">
      <c r="B37" s="177"/>
      <c r="C37" s="178"/>
      <c r="D37" s="179">
        <v>3237</v>
      </c>
      <c r="E37" s="38" t="s">
        <v>51</v>
      </c>
      <c r="F37" s="33"/>
      <c r="G37" s="40">
        <v>552.82000000000005</v>
      </c>
      <c r="H37" s="149"/>
    </row>
    <row r="38" spans="2:8" s="34" customFormat="1" ht="30" customHeight="1">
      <c r="B38" s="177"/>
      <c r="C38" s="178"/>
      <c r="D38" s="179">
        <v>3238</v>
      </c>
      <c r="E38" s="187" t="s">
        <v>39</v>
      </c>
      <c r="F38" s="33"/>
      <c r="G38" s="40">
        <f>1521.47-225</f>
        <v>1296.47</v>
      </c>
      <c r="H38" s="149"/>
    </row>
    <row r="39" spans="2:8" s="34" customFormat="1" ht="30" customHeight="1">
      <c r="B39" s="177"/>
      <c r="C39" s="178"/>
      <c r="D39" s="179">
        <v>3239</v>
      </c>
      <c r="E39" s="38" t="s">
        <v>10</v>
      </c>
      <c r="F39" s="33"/>
      <c r="G39" s="40">
        <v>48</v>
      </c>
      <c r="H39" s="149"/>
    </row>
    <row r="40" spans="2:8" s="34" customFormat="1" ht="30" customHeight="1">
      <c r="B40" s="177"/>
      <c r="C40" s="178"/>
      <c r="D40" s="179">
        <v>3294</v>
      </c>
      <c r="E40" s="38" t="s">
        <v>52</v>
      </c>
      <c r="F40" s="33"/>
      <c r="G40" s="40">
        <f>163.09</f>
        <v>163.09</v>
      </c>
      <c r="H40" s="149"/>
    </row>
    <row r="41" spans="2:8" s="34" customFormat="1" ht="30" customHeight="1">
      <c r="B41" s="177"/>
      <c r="C41" s="178"/>
      <c r="D41" s="179">
        <v>3295</v>
      </c>
      <c r="E41" s="38" t="s">
        <v>41</v>
      </c>
      <c r="F41" s="33"/>
      <c r="G41" s="40">
        <v>1664.43</v>
      </c>
      <c r="H41" s="149"/>
    </row>
    <row r="42" spans="2:8" s="34" customFormat="1" ht="30" customHeight="1">
      <c r="B42" s="177"/>
      <c r="C42" s="178"/>
      <c r="D42" s="179">
        <v>3299</v>
      </c>
      <c r="E42" s="38" t="s">
        <v>11</v>
      </c>
      <c r="F42" s="33"/>
      <c r="G42" s="40">
        <v>64.260000000000005</v>
      </c>
      <c r="H42" s="149"/>
    </row>
    <row r="43" spans="2:8" s="34" customFormat="1" ht="30" customHeight="1">
      <c r="B43" s="36">
        <v>34</v>
      </c>
      <c r="C43" s="37"/>
      <c r="D43" s="32"/>
      <c r="E43" s="38" t="s">
        <v>12</v>
      </c>
      <c r="F43" s="33">
        <f>270</f>
        <v>270</v>
      </c>
      <c r="G43" s="40">
        <v>270</v>
      </c>
      <c r="H43" s="149">
        <f t="shared" si="0"/>
        <v>100</v>
      </c>
    </row>
    <row r="44" spans="2:8" s="34" customFormat="1" ht="30" customHeight="1">
      <c r="B44" s="177"/>
      <c r="C44" s="178"/>
      <c r="D44" s="179">
        <v>3431</v>
      </c>
      <c r="E44" s="38" t="s">
        <v>44</v>
      </c>
      <c r="F44" s="33"/>
      <c r="G44" s="40">
        <v>270</v>
      </c>
      <c r="H44" s="149"/>
    </row>
    <row r="45" spans="2:8" s="34" customFormat="1" ht="30" customHeight="1">
      <c r="B45" s="177">
        <v>42</v>
      </c>
      <c r="C45" s="178"/>
      <c r="D45" s="179"/>
      <c r="E45" s="38" t="s">
        <v>99</v>
      </c>
      <c r="F45" s="33">
        <f>1991</f>
        <v>1991</v>
      </c>
      <c r="G45" s="40">
        <v>0</v>
      </c>
      <c r="H45" s="149">
        <f t="shared" si="0"/>
        <v>0</v>
      </c>
    </row>
    <row r="46" spans="2:8" s="34" customFormat="1" ht="30" customHeight="1">
      <c r="B46" s="262" t="s">
        <v>97</v>
      </c>
      <c r="C46" s="263"/>
      <c r="D46" s="264"/>
      <c r="E46" s="38" t="s">
        <v>98</v>
      </c>
      <c r="F46" s="33">
        <f>49495</f>
        <v>49495</v>
      </c>
      <c r="G46" s="40">
        <f>49495</f>
        <v>49495</v>
      </c>
      <c r="H46" s="149">
        <f t="shared" si="0"/>
        <v>100</v>
      </c>
    </row>
    <row r="47" spans="2:8" s="34" customFormat="1" ht="30" customHeight="1">
      <c r="B47" s="188">
        <v>45</v>
      </c>
      <c r="C47" s="189"/>
      <c r="D47" s="190"/>
      <c r="E47" s="191" t="s">
        <v>60</v>
      </c>
      <c r="F47" s="192">
        <f>49495</f>
        <v>49495</v>
      </c>
      <c r="G47" s="193">
        <f>G48</f>
        <v>49495</v>
      </c>
      <c r="H47" s="149">
        <f>G47/F47*100</f>
        <v>100</v>
      </c>
    </row>
    <row r="48" spans="2:8" s="34" customFormat="1" ht="30" customHeight="1">
      <c r="B48" s="177"/>
      <c r="C48" s="178"/>
      <c r="D48" s="179">
        <v>4511</v>
      </c>
      <c r="E48" s="38" t="s">
        <v>61</v>
      </c>
      <c r="F48" s="33"/>
      <c r="G48" s="40">
        <v>49495</v>
      </c>
      <c r="H48" s="149"/>
    </row>
    <row r="49" spans="2:12" s="34" customFormat="1" ht="30" customHeight="1">
      <c r="B49" s="276" t="s">
        <v>100</v>
      </c>
      <c r="C49" s="277"/>
      <c r="D49" s="278"/>
      <c r="E49" s="201" t="s">
        <v>101</v>
      </c>
      <c r="F49" s="202">
        <f>F50+F51+F52+F53+F54</f>
        <v>17495.27</v>
      </c>
      <c r="G49" s="202">
        <f>G50+G51+G52+G53+G54</f>
        <v>16117.45</v>
      </c>
      <c r="H49" s="186">
        <f t="shared" si="0"/>
        <v>92.124614252880917</v>
      </c>
      <c r="J49" s="41"/>
      <c r="L49" s="41"/>
    </row>
    <row r="50" spans="2:12" s="34" customFormat="1" ht="30" customHeight="1">
      <c r="B50" s="262" t="s">
        <v>89</v>
      </c>
      <c r="C50" s="263"/>
      <c r="D50" s="264"/>
      <c r="E50" s="32" t="s">
        <v>90</v>
      </c>
      <c r="F50" s="40">
        <f>3245.27+225</f>
        <v>3470.27</v>
      </c>
      <c r="G50" s="40">
        <f>3245.27+225</f>
        <v>3470.27</v>
      </c>
      <c r="H50" s="149">
        <f t="shared" si="0"/>
        <v>100</v>
      </c>
    </row>
    <row r="51" spans="2:12" s="34" customFormat="1" ht="30" customHeight="1">
      <c r="B51" s="262" t="s">
        <v>102</v>
      </c>
      <c r="C51" s="263"/>
      <c r="D51" s="264"/>
      <c r="E51" s="150" t="s">
        <v>105</v>
      </c>
      <c r="F51" s="33">
        <f>331</f>
        <v>331</v>
      </c>
      <c r="G51" s="40">
        <f>0.02+0.95+1.04</f>
        <v>2.0099999999999998</v>
      </c>
      <c r="H51" s="149">
        <f t="shared" si="0"/>
        <v>0.607250755287009</v>
      </c>
    </row>
    <row r="52" spans="2:12" s="34" customFormat="1" ht="30" customHeight="1">
      <c r="B52" s="265" t="s">
        <v>103</v>
      </c>
      <c r="C52" s="265"/>
      <c r="D52" s="265"/>
      <c r="E52" s="35" t="s">
        <v>106</v>
      </c>
      <c r="F52" s="33">
        <f>194</f>
        <v>194</v>
      </c>
      <c r="G52" s="40">
        <f>168</f>
        <v>168</v>
      </c>
      <c r="H52" s="149">
        <f t="shared" si="0"/>
        <v>86.597938144329902</v>
      </c>
    </row>
    <row r="53" spans="2:12" s="34" customFormat="1" ht="30" customHeight="1">
      <c r="B53" s="262" t="s">
        <v>92</v>
      </c>
      <c r="C53" s="263"/>
      <c r="D53" s="264"/>
      <c r="E53" s="35" t="s">
        <v>94</v>
      </c>
      <c r="F53" s="33">
        <f>2840+10500+94</f>
        <v>13434</v>
      </c>
      <c r="G53" s="40">
        <f>509.21+1871.28+177+263.09+9486.93+93.66</f>
        <v>12401.17</v>
      </c>
      <c r="H53" s="149">
        <f t="shared" si="0"/>
        <v>92.311820753312489</v>
      </c>
    </row>
    <row r="54" spans="2:12" s="34" customFormat="1" ht="30" customHeight="1">
      <c r="B54" s="262" t="s">
        <v>104</v>
      </c>
      <c r="C54" s="263"/>
      <c r="D54" s="264"/>
      <c r="E54" s="32" t="s">
        <v>107</v>
      </c>
      <c r="F54" s="33">
        <f>66</f>
        <v>66</v>
      </c>
      <c r="G54" s="40">
        <v>76</v>
      </c>
      <c r="H54" s="149">
        <f t="shared" si="0"/>
        <v>115.15151515151516</v>
      </c>
    </row>
    <row r="55" spans="2:12" s="34" customFormat="1" ht="30" customHeight="1">
      <c r="B55" s="262" t="s">
        <v>108</v>
      </c>
      <c r="C55" s="263"/>
      <c r="D55" s="264"/>
      <c r="E55" s="32" t="s">
        <v>109</v>
      </c>
      <c r="F55" s="185">
        <f>F56</f>
        <v>3245.27</v>
      </c>
      <c r="G55" s="40">
        <f>3245.27</f>
        <v>3245.27</v>
      </c>
      <c r="H55" s="149">
        <f t="shared" si="0"/>
        <v>100</v>
      </c>
    </row>
    <row r="56" spans="2:12" s="34" customFormat="1" ht="30" customHeight="1">
      <c r="B56" s="265">
        <v>37</v>
      </c>
      <c r="C56" s="266"/>
      <c r="D56" s="266"/>
      <c r="E56" s="35" t="s">
        <v>110</v>
      </c>
      <c r="F56" s="185">
        <v>3245.27</v>
      </c>
      <c r="G56" s="40">
        <f>G55</f>
        <v>3245.27</v>
      </c>
      <c r="H56" s="149">
        <f t="shared" si="0"/>
        <v>100</v>
      </c>
    </row>
    <row r="57" spans="2:12" s="34" customFormat="1" ht="30" customHeight="1">
      <c r="B57" s="198"/>
      <c r="C57" s="200"/>
      <c r="D57" s="179">
        <v>3722</v>
      </c>
      <c r="E57" s="38" t="s">
        <v>55</v>
      </c>
      <c r="F57" s="185"/>
      <c r="G57" s="40">
        <f>G56</f>
        <v>3245.27</v>
      </c>
      <c r="H57" s="149"/>
    </row>
    <row r="58" spans="2:12" s="34" customFormat="1" ht="30" customHeight="1">
      <c r="B58" s="265" t="s">
        <v>111</v>
      </c>
      <c r="C58" s="267"/>
      <c r="D58" s="267"/>
      <c r="E58" s="35" t="s">
        <v>112</v>
      </c>
      <c r="F58" s="33">
        <v>225</v>
      </c>
      <c r="G58" s="40">
        <v>225</v>
      </c>
      <c r="H58" s="149">
        <f t="shared" si="0"/>
        <v>100</v>
      </c>
    </row>
    <row r="59" spans="2:12" s="34" customFormat="1" ht="30" customHeight="1">
      <c r="B59" s="262">
        <v>32</v>
      </c>
      <c r="C59" s="263"/>
      <c r="D59" s="264"/>
      <c r="E59" s="35" t="s">
        <v>4</v>
      </c>
      <c r="F59" s="33">
        <v>225</v>
      </c>
      <c r="G59" s="40">
        <v>225</v>
      </c>
      <c r="H59" s="149">
        <f t="shared" si="0"/>
        <v>100</v>
      </c>
    </row>
    <row r="60" spans="2:12" s="34" customFormat="1" ht="30" customHeight="1">
      <c r="B60" s="177"/>
      <c r="C60" s="178"/>
      <c r="D60" s="179">
        <v>3238</v>
      </c>
      <c r="E60" s="35" t="s">
        <v>39</v>
      </c>
      <c r="F60" s="33"/>
      <c r="G60" s="40">
        <v>225</v>
      </c>
      <c r="H60" s="149"/>
    </row>
    <row r="61" spans="2:12" ht="30" customHeight="1">
      <c r="B61" s="262" t="s">
        <v>113</v>
      </c>
      <c r="C61" s="263"/>
      <c r="D61" s="264"/>
      <c r="E61" s="35" t="s">
        <v>114</v>
      </c>
      <c r="F61" s="33">
        <f>F62+F64</f>
        <v>2840</v>
      </c>
      <c r="G61" s="40">
        <f>G62+G64</f>
        <v>2820.58</v>
      </c>
      <c r="H61" s="149">
        <f t="shared" si="0"/>
        <v>99.316197183098581</v>
      </c>
    </row>
    <row r="62" spans="2:12" ht="30" customHeight="1">
      <c r="B62" s="262">
        <v>37</v>
      </c>
      <c r="C62" s="263"/>
      <c r="D62" s="264"/>
      <c r="E62" s="35" t="s">
        <v>110</v>
      </c>
      <c r="F62" s="33">
        <v>2381</v>
      </c>
      <c r="G62" s="40">
        <f>509.21+1871.28</f>
        <v>2380.4899999999998</v>
      </c>
      <c r="H62" s="149">
        <f t="shared" si="0"/>
        <v>99.978580428391425</v>
      </c>
    </row>
    <row r="63" spans="2:12" ht="30" customHeight="1">
      <c r="B63" s="177"/>
      <c r="C63" s="178"/>
      <c r="D63" s="179">
        <v>3722</v>
      </c>
      <c r="E63" s="38" t="s">
        <v>55</v>
      </c>
      <c r="F63" s="33"/>
      <c r="G63" s="40">
        <f>2380.49</f>
        <v>2380.4899999999998</v>
      </c>
      <c r="H63" s="149"/>
    </row>
    <row r="64" spans="2:12" ht="30" customHeight="1">
      <c r="B64" s="262">
        <v>42</v>
      </c>
      <c r="C64" s="263"/>
      <c r="D64" s="264"/>
      <c r="E64" s="35" t="s">
        <v>99</v>
      </c>
      <c r="F64" s="33">
        <v>459</v>
      </c>
      <c r="G64" s="40">
        <f>177+263.09</f>
        <v>440.09</v>
      </c>
      <c r="H64" s="149">
        <f t="shared" si="0"/>
        <v>95.880174291938985</v>
      </c>
    </row>
    <row r="65" spans="2:8" ht="30" customHeight="1">
      <c r="B65" s="177"/>
      <c r="C65" s="178"/>
      <c r="D65" s="179">
        <v>4241</v>
      </c>
      <c r="E65" s="35" t="s">
        <v>54</v>
      </c>
      <c r="F65" s="33"/>
      <c r="G65" s="40">
        <v>440.09</v>
      </c>
      <c r="H65" s="149"/>
    </row>
    <row r="66" spans="2:8" ht="30" customHeight="1">
      <c r="B66" s="262" t="s">
        <v>115</v>
      </c>
      <c r="C66" s="263"/>
      <c r="D66" s="264"/>
      <c r="E66" s="35" t="s">
        <v>116</v>
      </c>
      <c r="F66" s="33">
        <f>F67</f>
        <v>260</v>
      </c>
      <c r="G66" s="40">
        <f>G67</f>
        <v>244</v>
      </c>
      <c r="H66" s="149">
        <f t="shared" ref="H66:H80" si="1">G66/F66*100</f>
        <v>93.84615384615384</v>
      </c>
    </row>
    <row r="67" spans="2:8" ht="30" customHeight="1">
      <c r="B67" s="262">
        <v>32</v>
      </c>
      <c r="C67" s="263"/>
      <c r="D67" s="264"/>
      <c r="E67" s="35" t="s">
        <v>4</v>
      </c>
      <c r="F67" s="33">
        <f>66+194</f>
        <v>260</v>
      </c>
      <c r="G67" s="40">
        <f>76+168</f>
        <v>244</v>
      </c>
      <c r="H67" s="149">
        <f t="shared" si="1"/>
        <v>93.84615384615384</v>
      </c>
    </row>
    <row r="68" spans="2:8" ht="30" customHeight="1">
      <c r="B68" s="177"/>
      <c r="C68" s="178"/>
      <c r="D68" s="179">
        <v>3225</v>
      </c>
      <c r="E68" s="35" t="s">
        <v>49</v>
      </c>
      <c r="F68" s="33"/>
      <c r="G68" s="40">
        <v>76</v>
      </c>
      <c r="H68" s="149"/>
    </row>
    <row r="69" spans="2:8" ht="30" customHeight="1">
      <c r="B69" s="177"/>
      <c r="C69" s="178"/>
      <c r="D69" s="179">
        <v>3299</v>
      </c>
      <c r="E69" s="35" t="s">
        <v>11</v>
      </c>
      <c r="F69" s="33"/>
      <c r="G69" s="40">
        <v>168</v>
      </c>
      <c r="H69" s="149"/>
    </row>
    <row r="70" spans="2:8" ht="30" customHeight="1">
      <c r="B70" s="262" t="s">
        <v>117</v>
      </c>
      <c r="C70" s="263"/>
      <c r="D70" s="264"/>
      <c r="E70" s="35" t="s">
        <v>118</v>
      </c>
      <c r="F70" s="33">
        <f>331</f>
        <v>331</v>
      </c>
      <c r="G70" s="40">
        <f>G71+G74</f>
        <v>2.0099999999999998</v>
      </c>
      <c r="H70" s="149">
        <f t="shared" si="1"/>
        <v>0.607250755287009</v>
      </c>
    </row>
    <row r="71" spans="2:8" ht="30" customHeight="1">
      <c r="B71" s="262">
        <v>32</v>
      </c>
      <c r="C71" s="263"/>
      <c r="D71" s="264"/>
      <c r="E71" s="35" t="s">
        <v>4</v>
      </c>
      <c r="F71" s="33">
        <v>331</v>
      </c>
      <c r="G71" s="40">
        <f>1.04+0.95</f>
        <v>1.99</v>
      </c>
      <c r="H71" s="149">
        <f t="shared" si="1"/>
        <v>0.6012084592145015</v>
      </c>
    </row>
    <row r="72" spans="2:8" ht="30" customHeight="1">
      <c r="B72" s="177"/>
      <c r="C72" s="178"/>
      <c r="D72" s="179">
        <v>3221</v>
      </c>
      <c r="E72" s="35" t="s">
        <v>8</v>
      </c>
      <c r="F72" s="33"/>
      <c r="G72" s="40">
        <v>0.95</v>
      </c>
      <c r="H72" s="149"/>
    </row>
    <row r="73" spans="2:8" ht="30" customHeight="1">
      <c r="B73" s="177"/>
      <c r="C73" s="178"/>
      <c r="D73" s="179">
        <v>3225</v>
      </c>
      <c r="E73" s="35" t="s">
        <v>49</v>
      </c>
      <c r="F73" s="33"/>
      <c r="G73" s="40">
        <v>1.04</v>
      </c>
      <c r="H73" s="149"/>
    </row>
    <row r="74" spans="2:8" ht="30" customHeight="1">
      <c r="B74" s="262">
        <v>38</v>
      </c>
      <c r="C74" s="263"/>
      <c r="D74" s="264"/>
      <c r="E74" s="35" t="s">
        <v>63</v>
      </c>
      <c r="F74" s="33"/>
      <c r="G74" s="40">
        <v>0.02</v>
      </c>
      <c r="H74" s="149"/>
    </row>
    <row r="75" spans="2:8" ht="30" customHeight="1">
      <c r="B75" s="177"/>
      <c r="C75" s="178"/>
      <c r="D75" s="179">
        <v>3812</v>
      </c>
      <c r="E75" s="35" t="s">
        <v>154</v>
      </c>
      <c r="F75" s="33"/>
      <c r="G75" s="40">
        <v>0.02</v>
      </c>
      <c r="H75" s="149"/>
    </row>
    <row r="76" spans="2:8" ht="30" customHeight="1">
      <c r="B76" s="262" t="s">
        <v>120</v>
      </c>
      <c r="C76" s="263"/>
      <c r="D76" s="264"/>
      <c r="E76" s="35" t="s">
        <v>121</v>
      </c>
      <c r="F76" s="33">
        <v>10500</v>
      </c>
      <c r="G76" s="40">
        <f>G77</f>
        <v>9486.93</v>
      </c>
      <c r="H76" s="149">
        <f t="shared" si="1"/>
        <v>90.351714285714294</v>
      </c>
    </row>
    <row r="77" spans="2:8" ht="30" customHeight="1">
      <c r="B77" s="262">
        <v>32</v>
      </c>
      <c r="C77" s="263"/>
      <c r="D77" s="264"/>
      <c r="E77" s="35" t="s">
        <v>4</v>
      </c>
      <c r="F77" s="33">
        <v>10500</v>
      </c>
      <c r="G77" s="40">
        <f>9486.93</f>
        <v>9486.93</v>
      </c>
      <c r="H77" s="149">
        <f t="shared" si="1"/>
        <v>90.351714285714294</v>
      </c>
    </row>
    <row r="78" spans="2:8" ht="30" customHeight="1">
      <c r="B78" s="177"/>
      <c r="C78" s="178"/>
      <c r="D78" s="179">
        <v>3222</v>
      </c>
      <c r="E78" s="35" t="s">
        <v>201</v>
      </c>
      <c r="F78" s="33"/>
      <c r="G78" s="40">
        <v>9486.93</v>
      </c>
      <c r="H78" s="149"/>
    </row>
    <row r="79" spans="2:8" ht="35.25" customHeight="1">
      <c r="B79" s="262" t="s">
        <v>119</v>
      </c>
      <c r="C79" s="263"/>
      <c r="D79" s="264"/>
      <c r="E79" s="150" t="s">
        <v>122</v>
      </c>
      <c r="F79" s="33">
        <v>94</v>
      </c>
      <c r="G79" s="40">
        <f>G80</f>
        <v>93.66</v>
      </c>
      <c r="H79" s="149">
        <f t="shared" si="1"/>
        <v>99.638297872340416</v>
      </c>
    </row>
    <row r="80" spans="2:8" ht="30" customHeight="1">
      <c r="B80" s="262">
        <v>38</v>
      </c>
      <c r="C80" s="263"/>
      <c r="D80" s="264"/>
      <c r="E80" s="35" t="s">
        <v>63</v>
      </c>
      <c r="F80" s="33">
        <v>94</v>
      </c>
      <c r="G80" s="40">
        <f>93.66</f>
        <v>93.66</v>
      </c>
      <c r="H80" s="149">
        <f t="shared" si="1"/>
        <v>99.638297872340416</v>
      </c>
    </row>
    <row r="81" spans="2:8" ht="32.25" customHeight="1">
      <c r="B81" s="198"/>
      <c r="C81" s="200"/>
      <c r="D81" s="199">
        <v>3812</v>
      </c>
      <c r="E81" s="35" t="s">
        <v>154</v>
      </c>
      <c r="F81" s="33"/>
      <c r="G81" s="40">
        <f>93.66</f>
        <v>93.66</v>
      </c>
      <c r="H81" s="149"/>
    </row>
  </sheetData>
  <mergeCells count="31">
    <mergeCell ref="B53:D53"/>
    <mergeCell ref="B19:D19"/>
    <mergeCell ref="B46:D46"/>
    <mergeCell ref="B2:H2"/>
    <mergeCell ref="B4:H4"/>
    <mergeCell ref="B6:E6"/>
    <mergeCell ref="B7:E7"/>
    <mergeCell ref="B15:D15"/>
    <mergeCell ref="B9:D9"/>
    <mergeCell ref="B49:D49"/>
    <mergeCell ref="B50:D50"/>
    <mergeCell ref="B51:D51"/>
    <mergeCell ref="B52:D52"/>
    <mergeCell ref="B16:D16"/>
    <mergeCell ref="B71:D71"/>
    <mergeCell ref="B54:D54"/>
    <mergeCell ref="B55:D55"/>
    <mergeCell ref="B56:D56"/>
    <mergeCell ref="B58:D58"/>
    <mergeCell ref="B59:D59"/>
    <mergeCell ref="B61:D61"/>
    <mergeCell ref="B62:D62"/>
    <mergeCell ref="B64:D64"/>
    <mergeCell ref="B66:D66"/>
    <mergeCell ref="B67:D67"/>
    <mergeCell ref="B70:D70"/>
    <mergeCell ref="B74:D74"/>
    <mergeCell ref="B76:D76"/>
    <mergeCell ref="B77:D77"/>
    <mergeCell ref="B79:D79"/>
    <mergeCell ref="B80:D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SAŽETAK</vt:lpstr>
      <vt:lpstr>RAČUN PRIHODA I RASHODA</vt:lpstr>
      <vt:lpstr>Rashodi i prihodi prema izvoru</vt:lpstr>
      <vt:lpstr>Rashodi prema funkcijskoj klas</vt:lpstr>
      <vt:lpstr>Račun financiranja</vt:lpstr>
      <vt:lpstr>Račun fin prema izvorima f</vt:lpstr>
      <vt:lpstr>Rashodi prema programskoj klas</vt:lpstr>
      <vt:lpstr>'RAČUN PRIHODA I RASHODA'!Print_Area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Ivana Konjuh</cp:lastModifiedBy>
  <cp:lastPrinted>2024-03-18T13:34:08Z</cp:lastPrinted>
  <dcterms:created xsi:type="dcterms:W3CDTF">1996-10-14T23:33:28Z</dcterms:created>
  <dcterms:modified xsi:type="dcterms:W3CDTF">2024-03-21T09:32:56Z</dcterms:modified>
</cp:coreProperties>
</file>